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.kanbier\Desktop\PRIVE\"/>
    </mc:Choice>
  </mc:AlternateContent>
  <bookViews>
    <workbookView xWindow="16845" yWindow="0" windowWidth="27825" windowHeight="12930" tabRatio="732" activeTab="15"/>
  </bookViews>
  <sheets>
    <sheet name="START" sheetId="29" r:id="rId1"/>
    <sheet name="Sheet1" sheetId="46" r:id="rId2"/>
    <sheet name="KWALIFICATIE" sheetId="1" r:id="rId3"/>
    <sheet name="EINDRONDE" sheetId="4" r:id="rId4"/>
    <sheet name="BRIEFJES (11-21)" sheetId="35" r:id="rId5"/>
    <sheet name="BRIEFJES FINALES" sheetId="47" r:id="rId6"/>
    <sheet name="BRIEFJES (1-10)" sheetId="30" r:id="rId7"/>
    <sheet name="FINALES" sheetId="42" r:id="rId8"/>
    <sheet name="POULES (A-H)" sheetId="27" state="hidden" r:id="rId9"/>
    <sheet name="POULES (I+J)" sheetId="38" state="hidden" r:id="rId10"/>
    <sheet name="Beste nr. 3" sheetId="44" state="hidden" r:id="rId11"/>
    <sheet name="Beste nr. 2" sheetId="45" state="hidden" r:id="rId12"/>
    <sheet name="POULES (WINNAARS)" sheetId="34" state="hidden" r:id="rId13"/>
    <sheet name="POULES (RECREANTEN)" sheetId="41" state="hidden" r:id="rId14"/>
    <sheet name="POULE (DAMES)" sheetId="37" r:id="rId15"/>
    <sheet name="SCHEIDSRECHTERS" sheetId="33" r:id="rId16"/>
    <sheet name="BRIEFJES (FIN.)" sheetId="31" r:id="rId17"/>
  </sheets>
  <externalReferences>
    <externalReference r:id="rId18"/>
  </externalReferences>
  <definedNames>
    <definedName name="A2_Against" localSheetId="14">'POULE (DAMES)'!$AJ$9,'POULE (DAMES)'!$AJ$26,'POULE (DAMES)'!$AK$40</definedName>
    <definedName name="A2_Against" localSheetId="9">'POULES (I+J)'!$AJ$9,'POULES (I+J)'!$AJ$26,'POULES (I+J)'!$AK$40</definedName>
    <definedName name="A2_Against" localSheetId="13">'POULES (RECREANTEN)'!$AJ$9,'POULES (RECREANTEN)'!$AJ$26,'POULES (RECREANTEN)'!$AK$40</definedName>
    <definedName name="A2_Against" localSheetId="12">'POULES (WINNAARS)'!$AJ$9,'POULES (WINNAARS)'!$AJ$26,'POULES (WINNAARS)'!$AK$40</definedName>
    <definedName name="A2_Against">'POULES (A-H)'!$AJ$9,'POULES (A-H)'!$AJ$26,'POULES (A-H)'!$AK$41</definedName>
    <definedName name="A2_Played" localSheetId="14">'POULE (DAMES)'!$AK$9,'POULE (DAMES)'!$AK$26,'POULE (DAMES)'!$AJ$40</definedName>
    <definedName name="A2_Played" localSheetId="9">'POULES (I+J)'!$AK$9,'POULES (I+J)'!$AK$26,'POULES (I+J)'!$AJ$40</definedName>
    <definedName name="A2_Played" localSheetId="13">'POULES (RECREANTEN)'!$AK$9,'POULES (RECREANTEN)'!$AK$26,'POULES (RECREANTEN)'!$AJ$40</definedName>
    <definedName name="A2_Played" localSheetId="12">'POULES (WINNAARS)'!$AK$9,'POULES (WINNAARS)'!$AK$26,'POULES (WINNAARS)'!$AJ$40</definedName>
    <definedName name="A2_Played">'POULES (A-H)'!$AK$9,'POULES (A-H)'!$AK$26,'POULES (A-H)'!$AJ$41</definedName>
    <definedName name="Argentina_Against" localSheetId="14">'POULE (DAMES)'!$AK$13,'POULE (DAMES)'!$AK$29,'POULE (DAMES)'!$AJ$45</definedName>
    <definedName name="Argentina_Against" localSheetId="9">'POULES (I+J)'!$AK$13,'POULES (I+J)'!$AK$29,'POULES (I+J)'!$AJ$45</definedName>
    <definedName name="Argentina_Against" localSheetId="13">'POULES (RECREANTEN)'!$AK$13,'POULES (RECREANTEN)'!$AK$29,'POULES (RECREANTEN)'!$AJ$45</definedName>
    <definedName name="Argentina_Against" localSheetId="12">'POULES (WINNAARS)'!$AK$13,'POULES (WINNAARS)'!$AK$29,'POULES (WINNAARS)'!$AJ$45</definedName>
    <definedName name="Argentina_Against">'POULES (A-H)'!$AK$13,'POULES (A-H)'!$AK$29,'POULES (A-H)'!$AJ$46</definedName>
    <definedName name="Argentina_Played" localSheetId="14">'POULE (DAMES)'!$AJ$13,'POULE (DAMES)'!$AJ$29,'POULE (DAMES)'!$AK$45</definedName>
    <definedName name="Argentina_Played" localSheetId="9">'POULES (I+J)'!$AJ$13,'POULES (I+J)'!$AJ$29,'POULES (I+J)'!$AK$45</definedName>
    <definedName name="Argentina_Played" localSheetId="13">'POULES (RECREANTEN)'!$AJ$13,'POULES (RECREANTEN)'!$AJ$29,'POULES (RECREANTEN)'!$AK$45</definedName>
    <definedName name="Argentina_Played" localSheetId="12">'POULES (WINNAARS)'!$AJ$13,'POULES (WINNAARS)'!$AJ$29,'POULES (WINNAARS)'!$AK$45</definedName>
    <definedName name="Argentina_Played">'POULES (A-H)'!$AJ$13,'POULES (A-H)'!$AJ$29,'POULES (A-H)'!$AK$46</definedName>
    <definedName name="Belgium_Against" localSheetId="14">'POULE (DAMES)'!$AJ$19,'POULE (DAMES)'!$AJ$38,'POULE (DAMES)'!$AK$52</definedName>
    <definedName name="Belgium_Against" localSheetId="9">'POULES (I+J)'!$AJ$19,'POULES (I+J)'!$AJ$38,'POULES (I+J)'!$AK$52</definedName>
    <definedName name="Belgium_Against" localSheetId="13">'POULES (RECREANTEN)'!$AJ$19,'POULES (RECREANTEN)'!$AJ$38,'POULES (RECREANTEN)'!$AK$52</definedName>
    <definedName name="Belgium_Against" localSheetId="12">'POULES (WINNAARS)'!$AJ$19,'POULES (WINNAARS)'!$AJ$38,'POULES (WINNAARS)'!$AK$52</definedName>
    <definedName name="Belgium_Against">'POULES (A-H)'!$AJ$19,'POULES (A-H)'!$AJ$39,'POULES (A-H)'!$AK$53</definedName>
    <definedName name="Belgium_Played" localSheetId="14">'POULE (DAMES)'!$AK$19,'POULE (DAMES)'!$AK$38,'POULE (DAMES)'!$AJ$52</definedName>
    <definedName name="Belgium_Played" localSheetId="9">'POULES (I+J)'!$AK$19,'POULES (I+J)'!$AK$38,'POULES (I+J)'!$AJ$52</definedName>
    <definedName name="Belgium_Played" localSheetId="13">'POULES (RECREANTEN)'!$AK$19,'POULES (RECREANTEN)'!$AK$38,'POULES (RECREANTEN)'!$AJ$52</definedName>
    <definedName name="Belgium_Played" localSheetId="12">'POULES (WINNAARS)'!$AK$19,'POULES (WINNAARS)'!$AK$38,'POULES (WINNAARS)'!$AJ$52</definedName>
    <definedName name="Belgium_Played">'POULES (A-H)'!$AK$19,'POULES (A-H)'!$AK$39,'POULES (A-H)'!$AJ$53</definedName>
    <definedName name="Brazil_Against" localSheetId="14">'POULE (DAMES)'!$AK$16,'POULE (DAMES)'!$AK$33,'POULE (DAMES)'!$AJ$49</definedName>
    <definedName name="Brazil_Against" localSheetId="9">'POULES (I+J)'!$AK$16,'POULES (I+J)'!$AK$33,'POULES (I+J)'!$AJ$49</definedName>
    <definedName name="Brazil_Against" localSheetId="13">'POULES (RECREANTEN)'!$AK$16,'POULES (RECREANTEN)'!$AK$33,'POULES (RECREANTEN)'!$AJ$49</definedName>
    <definedName name="Brazil_Against" localSheetId="12">'POULES (WINNAARS)'!$AK$16,'POULES (WINNAARS)'!$AK$33,'POULES (WINNAARS)'!$AJ$49</definedName>
    <definedName name="Brazil_Against">'POULES (A-H)'!$AK$16,'POULES (A-H)'!$AK$34,'POULES (A-H)'!$AJ$50</definedName>
    <definedName name="Brazil_Played" localSheetId="14">'POULE (DAMES)'!$AJ$16,'POULE (DAMES)'!$AJ$33,'POULE (DAMES)'!$AK$49</definedName>
    <definedName name="Brazil_Played" localSheetId="9">'POULES (I+J)'!$AJ$16,'POULES (I+J)'!$AJ$33,'POULES (I+J)'!$AK$49</definedName>
    <definedName name="Brazil_Played" localSheetId="13">'POULES (RECREANTEN)'!$AJ$16,'POULES (RECREANTEN)'!$AJ$33,'POULES (RECREANTEN)'!$AK$49</definedName>
    <definedName name="Brazil_Played" localSheetId="12">'POULES (WINNAARS)'!$AJ$16,'POULES (WINNAARS)'!$AJ$33,'POULES (WINNAARS)'!$AK$49</definedName>
    <definedName name="Brazil_Played">'POULES (A-H)'!$AJ$16,'POULES (A-H)'!$AJ$34,'POULES (A-H)'!$AK$50</definedName>
    <definedName name="Cameroon_Against" localSheetId="14">'POULE (DAMES)'!$AJ$8,'POULE (DAMES)'!$AK$25,'POULE (DAMES)'!$AK$43</definedName>
    <definedName name="Cameroon_Against" localSheetId="9">'POULES (I+J)'!$AJ$8,'POULES (I+J)'!$AK$25,'POULES (I+J)'!$AK$43</definedName>
    <definedName name="Cameroon_Against" localSheetId="13">'POULES (RECREANTEN)'!$AJ$8,'POULES (RECREANTEN)'!$AK$25,'POULES (RECREANTEN)'!$AK$43</definedName>
    <definedName name="Cameroon_Against" localSheetId="12">'POULES (WINNAARS)'!$AJ$8,'POULES (WINNAARS)'!$AK$25,'POULES (WINNAARS)'!$AK$43</definedName>
    <definedName name="Cameroon_Against">'POULES (A-H)'!$AJ$8,'POULES (A-H)'!$AK$25,'POULES (A-H)'!$AK$44</definedName>
    <definedName name="Cameroon_Played" localSheetId="14">'POULE (DAMES)'!$AK$8,'POULE (DAMES)'!$AJ$25,'POULE (DAMES)'!$AJ$43</definedName>
    <definedName name="Cameroon_Played" localSheetId="9">'POULES (I+J)'!$AK$8,'POULES (I+J)'!$AJ$25,'POULES (I+J)'!$AJ$43</definedName>
    <definedName name="Cameroon_Played" localSheetId="13">'POULES (RECREANTEN)'!$AK$8,'POULES (RECREANTEN)'!$AJ$25,'POULES (RECREANTEN)'!$AJ$43</definedName>
    <definedName name="Cameroon_Played" localSheetId="12">'POULES (WINNAARS)'!$AK$8,'POULES (WINNAARS)'!$AJ$25,'POULES (WINNAARS)'!$AJ$43</definedName>
    <definedName name="Cameroon_Played">'POULES (A-H)'!$AK$8,'POULES (A-H)'!$AJ$25,'POULES (A-H)'!$AJ$44</definedName>
    <definedName name="China_Against" localSheetId="14">'POULE (DAMES)'!$AK$18,'POULE (DAMES)'!$AJ$33,'POULE (DAMES)'!$AJ$48</definedName>
    <definedName name="China_Against" localSheetId="9">'POULES (I+J)'!$AK$18,'POULES (I+J)'!$AJ$33,'POULES (I+J)'!$AJ$48</definedName>
    <definedName name="China_Against" localSheetId="13">'POULES (RECREANTEN)'!$AK$18,'POULES (RECREANTEN)'!$AJ$33,'POULES (RECREANTEN)'!$AJ$48</definedName>
    <definedName name="China_Against" localSheetId="12">'POULES (WINNAARS)'!$AK$18,'POULES (WINNAARS)'!$AJ$33,'POULES (WINNAARS)'!$AJ$48</definedName>
    <definedName name="China_Against">'POULES (A-H)'!$AK$18,'POULES (A-H)'!$AJ$34,'POULES (A-H)'!$AJ$49</definedName>
    <definedName name="China_Played" localSheetId="14">'POULE (DAMES)'!$AJ$18,'POULE (DAMES)'!$AK$33,'POULE (DAMES)'!$AK$48</definedName>
    <definedName name="China_Played" localSheetId="9">'POULES (I+J)'!$AJ$18,'POULES (I+J)'!$AK$33,'POULES (I+J)'!$AK$48</definedName>
    <definedName name="China_Played" localSheetId="13">'POULES (RECREANTEN)'!$AJ$18,'POULES (RECREANTEN)'!$AK$33,'POULES (RECREANTEN)'!$AK$48</definedName>
    <definedName name="China_Played" localSheetId="12">'POULES (WINNAARS)'!$AJ$18,'POULES (WINNAARS)'!$AK$33,'POULES (WINNAARS)'!$AK$48</definedName>
    <definedName name="China_Played">'POULES (A-H)'!$AJ$18,'POULES (A-H)'!$AK$34,'POULES (A-H)'!$AK$49</definedName>
    <definedName name="Costa_Rica_Against" localSheetId="14">'POULE (DAMES)'!$AJ$18,'POULE (DAMES)'!$AK$35,'POULE (DAMES)'!$AK$49</definedName>
    <definedName name="Costa_Rica_Against" localSheetId="9">'POULES (I+J)'!$AJ$18,'POULES (I+J)'!$AK$35,'POULES (I+J)'!$AK$49</definedName>
    <definedName name="Costa_Rica_Against" localSheetId="13">'POULES (RECREANTEN)'!$AJ$18,'POULES (RECREANTEN)'!$AK$35,'POULES (RECREANTEN)'!$AK$49</definedName>
    <definedName name="Costa_Rica_Against" localSheetId="12">'POULES (WINNAARS)'!$AJ$18,'POULES (WINNAARS)'!$AK$35,'POULES (WINNAARS)'!$AK$49</definedName>
    <definedName name="Costa_Rica_Against">'POULES (A-H)'!$AJ$18,'POULES (A-H)'!$AK$36,'POULES (A-H)'!$AK$50</definedName>
    <definedName name="Costa_Rica_Played" localSheetId="14">'POULE (DAMES)'!$AK$18,'POULE (DAMES)'!$AJ$35,'POULE (DAMES)'!$AJ$49</definedName>
    <definedName name="Costa_Rica_Played" localSheetId="9">'POULES (I+J)'!$AK$18,'POULES (I+J)'!$AJ$35,'POULES (I+J)'!$AJ$49</definedName>
    <definedName name="Costa_Rica_Played" localSheetId="13">'POULES (RECREANTEN)'!$AK$18,'POULES (RECREANTEN)'!$AJ$35,'POULES (RECREANTEN)'!$AJ$49</definedName>
    <definedName name="Costa_Rica_Played" localSheetId="12">'POULES (WINNAARS)'!$AK$18,'POULES (WINNAARS)'!$AJ$35,'POULES (WINNAARS)'!$AJ$49</definedName>
    <definedName name="Costa_Rica_Played">'POULES (A-H)'!$AK$18,'POULES (A-H)'!$AJ$36,'POULES (A-H)'!$AJ$50</definedName>
    <definedName name="Croatia_Against" localSheetId="14">'POULE (DAMES)'!$AK$15,'POULE (DAMES)'!$AJ$31,'POULE (DAMES)'!$AJ$50</definedName>
    <definedName name="Croatia_Against" localSheetId="9">'POULES (I+J)'!$AK$15,'POULES (I+J)'!$AJ$31,'POULES (I+J)'!$AJ$50</definedName>
    <definedName name="Croatia_Against" localSheetId="13">'POULES (RECREANTEN)'!$AK$15,'POULES (RECREANTEN)'!$AJ$31,'POULES (RECREANTEN)'!$AJ$50</definedName>
    <definedName name="Croatia_Against" localSheetId="12">'POULES (WINNAARS)'!$AK$15,'POULES (WINNAARS)'!$AJ$31,'POULES (WINNAARS)'!$AJ$50</definedName>
    <definedName name="Croatia_Against">'POULES (A-H)'!$AK$15,'POULES (A-H)'!$AJ$31,'POULES (A-H)'!$AJ$51</definedName>
    <definedName name="Croatia_Played" localSheetId="14">'POULE (DAMES)'!$AJ$15,'POULE (DAMES)'!$AK$31,'POULE (DAMES)'!$AK$50</definedName>
    <definedName name="Croatia_Played" localSheetId="9">'POULES (I+J)'!$AJ$15,'POULES (I+J)'!$AK$31,'POULES (I+J)'!$AK$50</definedName>
    <definedName name="Croatia_Played" localSheetId="13">'POULES (RECREANTEN)'!$AJ$15,'POULES (RECREANTEN)'!$AK$31,'POULES (RECREANTEN)'!$AK$50</definedName>
    <definedName name="Croatia_Played" localSheetId="12">'POULES (WINNAARS)'!$AJ$15,'POULES (WINNAARS)'!$AK$31,'POULES (WINNAARS)'!$AK$50</definedName>
    <definedName name="Croatia_Played">'POULES (A-H)'!$AJ$15,'POULES (A-H)'!$AK$31,'POULES (A-H)'!$AK$51</definedName>
    <definedName name="Denmark_Against" localSheetId="14">'POULE (DAMES)'!$AJ$7,'POULE (DAMES)'!$AK$26,'POULE (DAMES)'!$AK$41</definedName>
    <definedName name="Denmark_Against" localSheetId="9">'POULES (I+J)'!$AJ$7,'POULES (I+J)'!$AK$26,'POULES (I+J)'!$AK$41</definedName>
    <definedName name="Denmark_Against" localSheetId="13">'POULES (RECREANTEN)'!$AJ$7,'POULES (RECREANTEN)'!$AK$26,'POULES (RECREANTEN)'!$AK$41</definedName>
    <definedName name="Denmark_Against" localSheetId="12">'POULES (WINNAARS)'!$AJ$7,'POULES (WINNAARS)'!$AK$26,'POULES (WINNAARS)'!$AK$41</definedName>
    <definedName name="Denmark_Against">'POULES (A-H)'!$AJ$7,'POULES (A-H)'!$AK$26,'POULES (A-H)'!$AK$42</definedName>
    <definedName name="Denmark_Played" localSheetId="14">'POULE (DAMES)'!$AK$7,'POULE (DAMES)'!$AJ$26,'POULE (DAMES)'!$AJ$41</definedName>
    <definedName name="Denmark_Played" localSheetId="9">'POULES (I+J)'!$AK$7,'POULES (I+J)'!$AJ$26,'POULES (I+J)'!$AJ$41</definedName>
    <definedName name="Denmark_Played" localSheetId="13">'POULES (RECREANTEN)'!$AK$7,'POULES (RECREANTEN)'!$AJ$26,'POULES (RECREANTEN)'!$AJ$41</definedName>
    <definedName name="Denmark_Played" localSheetId="12">'POULES (WINNAARS)'!$AK$7,'POULES (WINNAARS)'!$AJ$26,'POULES (WINNAARS)'!$AJ$41</definedName>
    <definedName name="Denmark_Played">'POULES (A-H)'!$AK$7,'POULES (A-H)'!$AJ$26,'POULES (A-H)'!$AJ$42</definedName>
    <definedName name="Drawpoints">'[1]Group Points'!$B$5</definedName>
    <definedName name="Ecuador_Against" localSheetId="14">'POULE (DAMES)'!$AJ$17,'POULE (DAMES)'!$AJ$34,'POULE (DAMES)'!$AK$50</definedName>
    <definedName name="Ecuador_Against" localSheetId="9">'POULES (I+J)'!$AJ$17,'POULES (I+J)'!$AJ$34,'POULES (I+J)'!$AK$50</definedName>
    <definedName name="Ecuador_Against" localSheetId="13">'POULES (RECREANTEN)'!$AJ$17,'POULES (RECREANTEN)'!$AJ$34,'POULES (RECREANTEN)'!$AK$50</definedName>
    <definedName name="Ecuador_Against" localSheetId="12">'POULES (WINNAARS)'!$AJ$17,'POULES (WINNAARS)'!$AJ$34,'POULES (WINNAARS)'!$AK$50</definedName>
    <definedName name="Ecuador_Against">'POULES (A-H)'!$AJ$17,'POULES (A-H)'!$AJ$35,'POULES (A-H)'!$AK$51</definedName>
    <definedName name="Ecuador_Played" localSheetId="14">'POULE (DAMES)'!$AK$17,'POULE (DAMES)'!$AK$34,'POULE (DAMES)'!$AJ$50</definedName>
    <definedName name="Ecuador_Played" localSheetId="9">'POULES (I+J)'!$AK$17,'POULES (I+J)'!$AK$34,'POULES (I+J)'!$AJ$50</definedName>
    <definedName name="Ecuador_Played" localSheetId="13">'POULES (RECREANTEN)'!$AK$17,'POULES (RECREANTEN)'!$AK$34,'POULES (RECREANTEN)'!$AJ$50</definedName>
    <definedName name="Ecuador_Played" localSheetId="12">'POULES (WINNAARS)'!$AK$17,'POULES (WINNAARS)'!$AK$34,'POULES (WINNAARS)'!$AJ$50</definedName>
    <definedName name="Ecuador_Played">'POULES (A-H)'!$AK$17,'POULES (A-H)'!$AK$35,'POULES (A-H)'!$AJ$51</definedName>
    <definedName name="England_Against" localSheetId="14">'POULE (DAMES)'!$AK$11,'POULE (DAMES)'!$AJ$29,'POULE (DAMES)'!$AJ$44</definedName>
    <definedName name="England_Against" localSheetId="9">'POULES (I+J)'!$AK$11,'POULES (I+J)'!$AJ$29,'POULES (I+J)'!$AJ$44</definedName>
    <definedName name="England_Against" localSheetId="13">'POULES (RECREANTEN)'!$AK$11,'POULES (RECREANTEN)'!$AJ$29,'POULES (RECREANTEN)'!$AJ$44</definedName>
    <definedName name="England_Against" localSheetId="12">'POULES (WINNAARS)'!$AK$11,'POULES (WINNAARS)'!$AJ$29,'POULES (WINNAARS)'!$AJ$44</definedName>
    <definedName name="England_Against">'POULES (A-H)'!$AK$11,'POULES (A-H)'!$AJ$29,'POULES (A-H)'!$AJ$45</definedName>
    <definedName name="England_Played" localSheetId="14">'POULE (DAMES)'!$AJ$11,'POULE (DAMES)'!$AK$29,'POULE (DAMES)'!$AK$44</definedName>
    <definedName name="England_Played" localSheetId="9">'POULES (I+J)'!$AJ$11,'POULES (I+J)'!$AK$29,'POULES (I+J)'!$AK$44</definedName>
    <definedName name="England_Played" localSheetId="13">'POULES (RECREANTEN)'!$AJ$11,'POULES (RECREANTEN)'!$AK$29,'POULES (RECREANTEN)'!$AK$44</definedName>
    <definedName name="England_Played" localSheetId="12">'POULES (WINNAARS)'!$AJ$11,'POULES (WINNAARS)'!$AK$29,'POULES (WINNAARS)'!$AK$44</definedName>
    <definedName name="England_Played">'POULES (A-H)'!$AJ$11,'POULES (A-H)'!$AK$29,'POULES (A-H)'!$AK$45</definedName>
    <definedName name="France_Against" localSheetId="14">'POULE (DAMES)'!$AK$9,'POULE (DAMES)'!$AK$24,'POULE (DAMES)'!$AJ$41</definedName>
    <definedName name="France_Against" localSheetId="9">'POULES (I+J)'!$AK$9,'POULES (I+J)'!$AK$24,'POULES (I+J)'!$AJ$41</definedName>
    <definedName name="France_Against" localSheetId="13">'POULES (RECREANTEN)'!$AK$9,'POULES (RECREANTEN)'!$AK$24,'POULES (RECREANTEN)'!$AJ$41</definedName>
    <definedName name="France_Against" localSheetId="12">'POULES (WINNAARS)'!$AK$9,'POULES (WINNAARS)'!$AK$24,'POULES (WINNAARS)'!$AJ$41</definedName>
    <definedName name="France_Against">'POULES (A-H)'!$AK$9,'POULES (A-H)'!$AK$24,'POULES (A-H)'!$AJ$42</definedName>
    <definedName name="France_Played" localSheetId="14">'POULE (DAMES)'!$AJ$9,'POULE (DAMES)'!$AJ$24,'POULE (DAMES)'!$AK$41</definedName>
    <definedName name="France_Played" localSheetId="9">'POULES (I+J)'!$AJ$9,'POULES (I+J)'!$AJ$24,'POULES (I+J)'!$AK$41</definedName>
    <definedName name="France_Played" localSheetId="13">'POULES (RECREANTEN)'!$AJ$9,'POULES (RECREANTEN)'!$AJ$24,'POULES (RECREANTEN)'!$AK$41</definedName>
    <definedName name="France_Played" localSheetId="12">'POULES (WINNAARS)'!$AJ$9,'POULES (WINNAARS)'!$AJ$24,'POULES (WINNAARS)'!$AK$41</definedName>
    <definedName name="France_Played">'POULES (A-H)'!$AJ$9,'POULES (A-H)'!$AJ$24,'POULES (A-H)'!$AK$42</definedName>
    <definedName name="France_Results" localSheetId="14">'POULE (DAMES)'!$AO$9,'POULE (DAMES)'!$AO$24,'POULE (DAMES)'!$AO$41</definedName>
    <definedName name="France_Results" localSheetId="9">'POULES (I+J)'!$AO$9,'POULES (I+J)'!$AO$24,'POULES (I+J)'!$AO$41</definedName>
    <definedName name="France_Results" localSheetId="13">'POULES (RECREANTEN)'!$AO$9,'POULES (RECREANTEN)'!$AO$24,'POULES (RECREANTEN)'!$AO$41</definedName>
    <definedName name="France_Results" localSheetId="12">'POULES (WINNAARS)'!$AO$9,'POULES (WINNAARS)'!$AO$24,'POULES (WINNAARS)'!$AO$41</definedName>
    <definedName name="France_Results">'POULES (A-H)'!$AO$9,'POULES (A-H)'!$AO$24,'POULES (A-H)'!$AO$42</definedName>
    <definedName name="Germany_Against" localSheetId="14">'POULE (DAMES)'!$AK$10,'POULE (DAMES)'!$AK$23,'POULE (DAMES)'!$AJ$43</definedName>
    <definedName name="Germany_Against" localSheetId="9">'POULES (I+J)'!$AK$10,'POULES (I+J)'!$AK$23,'POULES (I+J)'!$AJ$43</definedName>
    <definedName name="Germany_Against" localSheetId="13">'POULES (RECREANTEN)'!$AK$10,'POULES (RECREANTEN)'!$AK$23,'POULES (RECREANTEN)'!$AJ$43</definedName>
    <definedName name="Germany_Against" localSheetId="12">'POULES (WINNAARS)'!$AK$10,'POULES (WINNAARS)'!$AK$23,'POULES (WINNAARS)'!$AJ$43</definedName>
    <definedName name="Germany_Against">'POULES (A-H)'!$AK$10,'POULES (A-H)'!$AK$23,'POULES (A-H)'!$AJ$44</definedName>
    <definedName name="Germany_Played" localSheetId="14">'POULE (DAMES)'!$AJ$10,'POULE (DAMES)'!$AJ$23,'POULE (DAMES)'!$AK$43</definedName>
    <definedName name="Germany_Played" localSheetId="9">'POULES (I+J)'!$AJ$10,'POULES (I+J)'!$AJ$23,'POULES (I+J)'!$AK$43</definedName>
    <definedName name="Germany_Played" localSheetId="13">'POULES (RECREANTEN)'!$AJ$10,'POULES (RECREANTEN)'!$AJ$23,'POULES (RECREANTEN)'!$AK$43</definedName>
    <definedName name="Germany_Played" localSheetId="12">'POULES (WINNAARS)'!$AJ$10,'POULES (WINNAARS)'!$AJ$23,'POULES (WINNAARS)'!$AK$43</definedName>
    <definedName name="Germany_Played">'POULES (A-H)'!$AJ$10,'POULES (A-H)'!$AJ$23,'POULES (A-H)'!$AK$44</definedName>
    <definedName name="Groupstage_Losers" localSheetId="14">'POULE (DAMES)'!$AP$7:$AP$55</definedName>
    <definedName name="Groupstage_Losers" localSheetId="9">'POULES (I+J)'!$AP$7:$AP$55</definedName>
    <definedName name="Groupstage_Losers" localSheetId="13">'POULES (RECREANTEN)'!$AP$7:$AP$55</definedName>
    <definedName name="Groupstage_Losers" localSheetId="12">'POULES (WINNAARS)'!$AP$7:$AP$55</definedName>
    <definedName name="Groupstage_Losers">'POULES (A-H)'!$AP$7:$AP$56</definedName>
    <definedName name="Groupstage_Winners" localSheetId="14">'POULE (DAMES)'!$AO$7:$AO$55</definedName>
    <definedName name="Groupstage_Winners" localSheetId="9">'POULES (I+J)'!$AO$7:$AO$55</definedName>
    <definedName name="Groupstage_Winners" localSheetId="13">'POULES (RECREANTEN)'!$AO$7:$AO$55</definedName>
    <definedName name="Groupstage_Winners" localSheetId="12">'POULES (WINNAARS)'!$AO$7:$AO$55</definedName>
    <definedName name="Groupstage_Winners">'POULES (A-H)'!$AO$7:$AO$56</definedName>
    <definedName name="Ireland_Against" localSheetId="14">'POULE (DAMES)'!$AK$8,'POULE (DAMES)'!$AJ$23,'POULE (DAMES)'!$AJ$42</definedName>
    <definedName name="Ireland_Against" localSheetId="9">'POULES (I+J)'!$AK$8,'POULES (I+J)'!$AJ$23,'POULES (I+J)'!$AJ$42</definedName>
    <definedName name="Ireland_Against" localSheetId="13">'POULES (RECREANTEN)'!$AK$8,'POULES (RECREANTEN)'!$AJ$23,'POULES (RECREANTEN)'!$AJ$42</definedName>
    <definedName name="Ireland_Against" localSheetId="12">'POULES (WINNAARS)'!$AK$8,'POULES (WINNAARS)'!$AJ$23,'POULES (WINNAARS)'!$AJ$42</definedName>
    <definedName name="Ireland_Against">'POULES (A-H)'!$AK$8,'POULES (A-H)'!$AJ$23,'POULES (A-H)'!$AJ$43</definedName>
    <definedName name="Ireland_Played" localSheetId="14">'POULE (DAMES)'!$AJ$8,'POULE (DAMES)'!$AK$23,'POULE (DAMES)'!$AK$42</definedName>
    <definedName name="Ireland_Played" localSheetId="9">'POULES (I+J)'!$AJ$8,'POULES (I+J)'!$AK$23,'POULES (I+J)'!$AK$42</definedName>
    <definedName name="Ireland_Played" localSheetId="13">'POULES (RECREANTEN)'!$AJ$8,'POULES (RECREANTEN)'!$AK$23,'POULES (RECREANTEN)'!$AK$42</definedName>
    <definedName name="Ireland_Played" localSheetId="12">'POULES (WINNAARS)'!$AJ$8,'POULES (WINNAARS)'!$AK$23,'POULES (WINNAARS)'!$AK$42</definedName>
    <definedName name="Ireland_Played">'POULES (A-H)'!$AJ$8,'POULES (A-H)'!$AK$23,'POULES (A-H)'!$AK$43</definedName>
    <definedName name="Italy_Against" localSheetId="14">'POULE (DAMES)'!$AK$17,'POULE (DAMES)'!$AK$31,'POULE (DAMES)'!$AJ$51</definedName>
    <definedName name="Italy_Against" localSheetId="9">'POULES (I+J)'!$AK$17,'POULES (I+J)'!$AK$31,'POULES (I+J)'!$AJ$51</definedName>
    <definedName name="Italy_Against" localSheetId="13">'POULES (RECREANTEN)'!$AK$17,'POULES (RECREANTEN)'!$AK$31,'POULES (RECREANTEN)'!$AJ$51</definedName>
    <definedName name="Italy_Against" localSheetId="12">'POULES (WINNAARS)'!$AK$17,'POULES (WINNAARS)'!$AK$31,'POULES (WINNAARS)'!$AJ$51</definedName>
    <definedName name="Italy_Against">'POULES (A-H)'!$AK$17,'POULES (A-H)'!$AK$31,'POULES (A-H)'!$AJ$52</definedName>
    <definedName name="Italy_Played" localSheetId="14">'POULE (DAMES)'!$AJ$17,'POULE (DAMES)'!$AJ$31,'POULE (DAMES)'!$AK$51</definedName>
    <definedName name="Italy_Played" localSheetId="9">'POULES (I+J)'!$AJ$17,'POULES (I+J)'!$AJ$31,'POULES (I+J)'!$AK$51</definedName>
    <definedName name="Italy_Played" localSheetId="13">'POULES (RECREANTEN)'!$AJ$17,'POULES (RECREANTEN)'!$AJ$31,'POULES (RECREANTEN)'!$AK$51</definedName>
    <definedName name="Italy_Played" localSheetId="12">'POULES (WINNAARS)'!$AJ$17,'POULES (WINNAARS)'!$AJ$31,'POULES (WINNAARS)'!$AK$51</definedName>
    <definedName name="Italy_Played">'POULES (A-H)'!$AJ$17,'POULES (A-H)'!$AJ$31,'POULES (A-H)'!$AK$52</definedName>
    <definedName name="Japan_Against" localSheetId="14">'POULE (DAMES)'!$AK$19,'POULE (DAMES)'!$AK$36,'POULE (DAMES)'!$AJ$53</definedName>
    <definedName name="Japan_Against" localSheetId="9">'POULES (I+J)'!$AK$19,'POULES (I+J)'!$AK$36,'POULES (I+J)'!$AJ$53</definedName>
    <definedName name="Japan_Against" localSheetId="13">'POULES (RECREANTEN)'!$AK$19,'POULES (RECREANTEN)'!$AK$36,'POULES (RECREANTEN)'!$AJ$53</definedName>
    <definedName name="Japan_Against" localSheetId="12">'POULES (WINNAARS)'!$AK$19,'POULES (WINNAARS)'!$AK$36,'POULES (WINNAARS)'!$AJ$53</definedName>
    <definedName name="Japan_Against">'POULES (A-H)'!$AK$19,'POULES (A-H)'!$AK$37,'POULES (A-H)'!$AJ$54</definedName>
    <definedName name="Japan_Played" localSheetId="14">'POULE (DAMES)'!$AJ$19,'POULE (DAMES)'!$AJ$36,'POULE (DAMES)'!$AK$53</definedName>
    <definedName name="Japan_Played" localSheetId="9">'POULES (I+J)'!$AJ$19,'POULES (I+J)'!$AJ$36,'POULES (I+J)'!$AK$53</definedName>
    <definedName name="Japan_Played" localSheetId="13">'POULES (RECREANTEN)'!$AJ$19,'POULES (RECREANTEN)'!$AJ$36,'POULES (RECREANTEN)'!$AK$53</definedName>
    <definedName name="Japan_Played" localSheetId="12">'POULES (WINNAARS)'!$AJ$19,'POULES (WINNAARS)'!$AJ$36,'POULES (WINNAARS)'!$AK$53</definedName>
    <definedName name="Japan_Played">'POULES (A-H)'!$AJ$19,'POULES (A-H)'!$AJ$37,'POULES (A-H)'!$AK$54</definedName>
    <definedName name="Mexico_Against" localSheetId="14">'POULE (DAMES)'!$AJ$15,'POULE (DAMES)'!$AK$34,'POULE (DAMES)'!$AK$51</definedName>
    <definedName name="Mexico_Against" localSheetId="9">'POULES (I+J)'!$AJ$15,'POULES (I+J)'!$AK$34,'POULES (I+J)'!$AK$51</definedName>
    <definedName name="Mexico_Against" localSheetId="13">'POULES (RECREANTEN)'!$AJ$15,'POULES (RECREANTEN)'!$AK$34,'POULES (RECREANTEN)'!$AK$51</definedName>
    <definedName name="Mexico_Against" localSheetId="12">'POULES (WINNAARS)'!$AJ$15,'POULES (WINNAARS)'!$AK$34,'POULES (WINNAARS)'!$AK$51</definedName>
    <definedName name="Mexico_Against">'POULES (A-H)'!$AJ$15,'POULES (A-H)'!$AK$35,'POULES (A-H)'!$AK$52</definedName>
    <definedName name="Mexico_Played" localSheetId="14">'POULE (DAMES)'!$AK$15,'POULE (DAMES)'!$AJ$34,'POULE (DAMES)'!$AJ$51</definedName>
    <definedName name="Mexico_Played" localSheetId="9">'POULES (I+J)'!$AK$15,'POULES (I+J)'!$AJ$34,'POULES (I+J)'!$AJ$51</definedName>
    <definedName name="Mexico_Played" localSheetId="13">'POULES (RECREANTEN)'!$AK$15,'POULES (RECREANTEN)'!$AJ$34,'POULES (RECREANTEN)'!$AJ$51</definedName>
    <definedName name="Mexico_Played" localSheetId="12">'POULES (WINNAARS)'!$AK$15,'POULES (WINNAARS)'!$AJ$34,'POULES (WINNAARS)'!$AJ$51</definedName>
    <definedName name="Mexico_Played">'POULES (A-H)'!$AK$15,'POULES (A-H)'!$AJ$35,'POULES (A-H)'!$AJ$52</definedName>
    <definedName name="Nigeria_Against" localSheetId="14">'POULE (DAMES)'!$AJ$13,'POULE (DAMES)'!$AJ$27,'POULE (DAMES)'!$AK$44</definedName>
    <definedName name="Nigeria_Against" localSheetId="9">'POULES (I+J)'!$AJ$13,'POULES (I+J)'!$AJ$27,'POULES (I+J)'!$AK$44</definedName>
    <definedName name="Nigeria_Against" localSheetId="13">'POULES (RECREANTEN)'!$AJ$13,'POULES (RECREANTEN)'!$AJ$27,'POULES (RECREANTEN)'!$AK$44</definedName>
    <definedName name="Nigeria_Against" localSheetId="12">'POULES (WINNAARS)'!$AJ$13,'POULES (WINNAARS)'!$AJ$27,'POULES (WINNAARS)'!$AK$44</definedName>
    <definedName name="Nigeria_Against">'POULES (A-H)'!$AJ$13,'POULES (A-H)'!$AJ$27,'POULES (A-H)'!$AK$45</definedName>
    <definedName name="Nigeria_Played" localSheetId="14">'POULE (DAMES)'!$AK$13,'POULE (DAMES)'!$AK$27,'POULE (DAMES)'!$AJ$44</definedName>
    <definedName name="Nigeria_Played" localSheetId="9">'POULES (I+J)'!$AK$13,'POULES (I+J)'!$AK$27,'POULES (I+J)'!$AJ$44</definedName>
    <definedName name="Nigeria_Played" localSheetId="13">'POULES (RECREANTEN)'!$AK$13,'POULES (RECREANTEN)'!$AK$27,'POULES (RECREANTEN)'!$AJ$44</definedName>
    <definedName name="Nigeria_Played" localSheetId="12">'POULES (WINNAARS)'!$AK$13,'POULES (WINNAARS)'!$AK$27,'POULES (WINNAARS)'!$AJ$44</definedName>
    <definedName name="Nigeria_Played">'POULES (A-H)'!$AK$13,'POULES (A-H)'!$AK$27,'POULES (A-H)'!$AJ$45</definedName>
    <definedName name="Paraguay_Against" localSheetId="14">'POULE (DAMES)'!$AK$12,'POULE (DAMES)'!$AJ$28,'POULE (DAMES)'!$AJ$46</definedName>
    <definedName name="Paraguay_Against" localSheetId="9">'POULES (I+J)'!$AK$12,'POULES (I+J)'!$AJ$28,'POULES (I+J)'!$AJ$46</definedName>
    <definedName name="Paraguay_Against" localSheetId="13">'POULES (RECREANTEN)'!$AK$12,'POULES (RECREANTEN)'!$AJ$28,'POULES (RECREANTEN)'!$AJ$46</definedName>
    <definedName name="Paraguay_Against" localSheetId="12">'POULES (WINNAARS)'!$AK$12,'POULES (WINNAARS)'!$AJ$28,'POULES (WINNAARS)'!$AJ$46</definedName>
    <definedName name="Paraguay_Against">'POULES (A-H)'!$AK$12,'POULES (A-H)'!$AJ$28,'POULES (A-H)'!$AJ$47</definedName>
    <definedName name="Paraguay_Played" localSheetId="14">'POULE (DAMES)'!$AJ$12,'POULE (DAMES)'!$AK$28,'POULE (DAMES)'!$AK$46</definedName>
    <definedName name="Paraguay_Played" localSheetId="9">'POULES (I+J)'!$AJ$12,'POULES (I+J)'!$AK$28,'POULES (I+J)'!$AK$46</definedName>
    <definedName name="Paraguay_Played" localSheetId="13">'POULES (RECREANTEN)'!$AJ$12,'POULES (RECREANTEN)'!$AK$28,'POULES (RECREANTEN)'!$AK$46</definedName>
    <definedName name="Paraguay_Played" localSheetId="12">'POULES (WINNAARS)'!$AJ$12,'POULES (WINNAARS)'!$AK$28,'POULES (WINNAARS)'!$AK$46</definedName>
    <definedName name="Paraguay_Played">'POULES (A-H)'!$AJ$12,'POULES (A-H)'!$AK$28,'POULES (A-H)'!$AK$47</definedName>
    <definedName name="Poland_Against" localSheetId="14">'POULE (DAMES)'!$AJ$20,'POULE (DAMES)'!$AJ$39,'POULE (DAMES)'!$AK$54</definedName>
    <definedName name="Poland_Against" localSheetId="9">'POULES (I+J)'!$AJ$20,'POULES (I+J)'!$AJ$39,'POULES (I+J)'!$AK$54</definedName>
    <definedName name="Poland_Against" localSheetId="13">'POULES (RECREANTEN)'!$AJ$20,'POULES (RECREANTEN)'!$AJ$39,'POULES (RECREANTEN)'!$AK$54</definedName>
    <definedName name="Poland_Against" localSheetId="12">'POULES (WINNAARS)'!$AJ$20,'POULES (WINNAARS)'!$AJ$39,'POULES (WINNAARS)'!$AK$54</definedName>
    <definedName name="Poland_Against">'POULES (A-H)'!$AJ$20,'POULES (A-H)'!$AJ$40,'POULES (A-H)'!$AK$55</definedName>
    <definedName name="Poland_Played" localSheetId="14">'POULE (DAMES)'!$AK$20,'POULE (DAMES)'!$AK$39,'POULE (DAMES)'!$AJ$54</definedName>
    <definedName name="Poland_Played" localSheetId="9">'POULES (I+J)'!$AK$20,'POULES (I+J)'!$AK$39,'POULES (I+J)'!$AJ$54</definedName>
    <definedName name="Poland_Played" localSheetId="13">'POULES (RECREANTEN)'!$AK$20,'POULES (RECREANTEN)'!$AK$39,'POULES (RECREANTEN)'!$AJ$54</definedName>
    <definedName name="Poland_Played" localSheetId="12">'POULES (WINNAARS)'!$AK$20,'POULES (WINNAARS)'!$AK$39,'POULES (WINNAARS)'!$AJ$54</definedName>
    <definedName name="Poland_Played">'POULES (A-H)'!$AK$20,'POULES (A-H)'!$AK$40,'POULES (A-H)'!$AJ$55</definedName>
    <definedName name="Portugal_Against" localSheetId="14">'POULE (DAMES)'!$AJ$22,'POULE (DAMES)'!$AK$39,'POULE (DAMES)'!$AK$55</definedName>
    <definedName name="Portugal_Against" localSheetId="9">'POULES (I+J)'!$AJ$22,'POULES (I+J)'!$AK$39,'POULES (I+J)'!$AK$55</definedName>
    <definedName name="Portugal_Against" localSheetId="13">'POULES (RECREANTEN)'!$AJ$22,'POULES (RECREANTEN)'!$AK$39,'POULES (RECREANTEN)'!$AK$55</definedName>
    <definedName name="Portugal_Against" localSheetId="12">'POULES (WINNAARS)'!$AJ$22,'POULES (WINNAARS)'!$AK$39,'POULES (WINNAARS)'!$AK$55</definedName>
    <definedName name="Portugal_Against">'POULES (A-H)'!$AJ$22,'POULES (A-H)'!$AK$40,'POULES (A-H)'!$AK$56</definedName>
    <definedName name="Portugal_Played" localSheetId="14">'POULE (DAMES)'!$AK$22,'POULE (DAMES)'!$AJ$39,'POULE (DAMES)'!$AJ$55</definedName>
    <definedName name="Portugal_Played" localSheetId="9">'POULES (I+J)'!$AK$22,'POULES (I+J)'!$AJ$39,'POULES (I+J)'!$AJ$55</definedName>
    <definedName name="Portugal_Played" localSheetId="13">'POULES (RECREANTEN)'!$AK$22,'POULES (RECREANTEN)'!$AJ$39,'POULES (RECREANTEN)'!$AJ$55</definedName>
    <definedName name="Portugal_Played" localSheetId="12">'POULES (WINNAARS)'!$AK$22,'POULES (WINNAARS)'!$AJ$39,'POULES (WINNAARS)'!$AJ$55</definedName>
    <definedName name="Portugal_Played">'POULES (A-H)'!$AK$22,'POULES (A-H)'!$AJ$40,'POULES (A-H)'!$AJ$56</definedName>
    <definedName name="_xlnm.Print_Area" localSheetId="6">'BRIEFJES (1-10)'!$A$1:$O$353</definedName>
    <definedName name="_xlnm.Print_Area" localSheetId="4">'BRIEFJES (11-21)'!$A$1:$O$341</definedName>
    <definedName name="_xlnm.Print_Area" localSheetId="16">'BRIEFJES (FIN.)'!$B$1:$O$48</definedName>
    <definedName name="_xlnm.Print_Area" localSheetId="5">'BRIEFJES FINALES'!$A$1:$O$353</definedName>
    <definedName name="_xlnm.Print_Area" localSheetId="3">EINDRONDE!$B$2:$AF$72</definedName>
    <definedName name="_xlnm.Print_Area" localSheetId="7">FINALES!$A$1:$K$47</definedName>
    <definedName name="_xlnm.Print_Area" localSheetId="2">KWALIFICATIE!$B$2:$AF$65</definedName>
    <definedName name="_xlnm.Print_Area" localSheetId="14">'POULE (DAMES)'!$A$1:$AG$31</definedName>
    <definedName name="_xlnm.Print_Area" localSheetId="8">'POULES (A-H)'!$A$1:$AG$63</definedName>
    <definedName name="_xlnm.Print_Area" localSheetId="9">'POULES (I+J)'!$A$1:$AG$30</definedName>
    <definedName name="_xlnm.Print_Area" localSheetId="13">'POULES (RECREANTEN)'!$A$1:$AG$31</definedName>
    <definedName name="_xlnm.Print_Area" localSheetId="12">'POULES (WINNAARS)'!$A$1:$AG$62</definedName>
    <definedName name="_xlnm.Print_Area" localSheetId="15">SCHEIDSRECHTERS!$A$1:$N$32</definedName>
    <definedName name="_xlnm.Print_Area" localSheetId="1">Sheet1!$A$1:$H$13</definedName>
    <definedName name="Russia_Against" localSheetId="14">'POULE (DAMES)'!$AK$21,'POULE (DAMES)'!$AJ$36,'POULE (DAMES)'!$AJ$52</definedName>
    <definedName name="Russia_Against" localSheetId="9">'POULES (I+J)'!$AK$21,'POULES (I+J)'!$AJ$36,'POULES (I+J)'!$AJ$52</definedName>
    <definedName name="Russia_Against" localSheetId="13">'POULES (RECREANTEN)'!$AK$21,'POULES (RECREANTEN)'!$AJ$36,'POULES (RECREANTEN)'!$AJ$52</definedName>
    <definedName name="Russia_Against" localSheetId="12">'POULES (WINNAARS)'!$AK$21,'POULES (WINNAARS)'!$AJ$36,'POULES (WINNAARS)'!$AJ$52</definedName>
    <definedName name="Russia_Against">'POULES (A-H)'!$AK$21,'POULES (A-H)'!$AJ$37,'POULES (A-H)'!$AJ$53</definedName>
    <definedName name="Russia_Played" localSheetId="14">'POULE (DAMES)'!$AJ$21,'POULE (DAMES)'!$AK$36,'POULE (DAMES)'!$AK$52</definedName>
    <definedName name="Russia_Played" localSheetId="9">'POULES (I+J)'!$AJ$21,'POULES (I+J)'!$AK$36,'POULES (I+J)'!$AK$52</definedName>
    <definedName name="Russia_Played" localSheetId="13">'POULES (RECREANTEN)'!$AJ$21,'POULES (RECREANTEN)'!$AK$36,'POULES (RECREANTEN)'!$AK$52</definedName>
    <definedName name="Russia_Played" localSheetId="12">'POULES (WINNAARS)'!$AJ$21,'POULES (WINNAARS)'!$AK$36,'POULES (WINNAARS)'!$AK$52</definedName>
    <definedName name="Russia_Played">'POULES (A-H)'!$AJ$21,'POULES (A-H)'!$AK$37,'POULES (A-H)'!$AK$53</definedName>
    <definedName name="Saudi_Arabia_Against" localSheetId="14">'POULE (DAMES)'!$AJ$10,'POULE (DAMES)'!$AJ$25,'POULE (DAMES)'!$AK$42</definedName>
    <definedName name="Saudi_Arabia_Against" localSheetId="9">'POULES (I+J)'!$AJ$10,'POULES (I+J)'!$AJ$25,'POULES (I+J)'!$AK$42</definedName>
    <definedName name="Saudi_Arabia_Against" localSheetId="13">'POULES (RECREANTEN)'!$AJ$10,'POULES (RECREANTEN)'!$AJ$25,'POULES (RECREANTEN)'!$AK$42</definedName>
    <definedName name="Saudi_Arabia_Against" localSheetId="12">'POULES (WINNAARS)'!$AJ$10,'POULES (WINNAARS)'!$AJ$25,'POULES (WINNAARS)'!$AK$42</definedName>
    <definedName name="Saudi_Arabia_Against">'POULES (A-H)'!$AJ$10,'POULES (A-H)'!$AJ$25,'POULES (A-H)'!$AK$43</definedName>
    <definedName name="Saudi_Arabia_Played" localSheetId="14">'POULE (DAMES)'!$AK$10,'POULE (DAMES)'!$AK$25,'POULE (DAMES)'!$AJ$42</definedName>
    <definedName name="Saudi_Arabia_Played" localSheetId="9">'POULES (I+J)'!$AK$10,'POULES (I+J)'!$AK$25,'POULES (I+J)'!$AJ$42</definedName>
    <definedName name="Saudi_Arabia_Played" localSheetId="13">'POULES (RECREANTEN)'!$AK$10,'POULES (RECREANTEN)'!$AK$25,'POULES (RECREANTEN)'!$AJ$42</definedName>
    <definedName name="Saudi_Arabia_Played" localSheetId="12">'POULES (WINNAARS)'!$AK$10,'POULES (WINNAARS)'!$AK$25,'POULES (WINNAARS)'!$AJ$42</definedName>
    <definedName name="Saudi_Arabia_Played">'POULES (A-H)'!$AK$10,'POULES (A-H)'!$AK$25,'POULES (A-H)'!$AJ$43</definedName>
    <definedName name="Senegal_Against" localSheetId="14">'POULE (DAMES)'!$AJ$9,'POULE (DAMES)'!$AJ$26,'POULE (DAMES)'!$AK$40</definedName>
    <definedName name="Senegal_Against" localSheetId="9">'POULES (I+J)'!$AJ$9,'POULES (I+J)'!$AJ$26,'POULES (I+J)'!$AK$40</definedName>
    <definedName name="Senegal_Against" localSheetId="13">'POULES (RECREANTEN)'!$AJ$9,'POULES (RECREANTEN)'!$AJ$26,'POULES (RECREANTEN)'!$AK$40</definedName>
    <definedName name="Senegal_Against" localSheetId="12">'POULES (WINNAARS)'!$AJ$9,'POULES (WINNAARS)'!$AJ$26,'POULES (WINNAARS)'!$AK$40</definedName>
    <definedName name="Senegal_Against">'POULES (A-H)'!$AJ$9,'POULES (A-H)'!$AJ$26,'POULES (A-H)'!$AK$41</definedName>
    <definedName name="Senegal_Played" localSheetId="14">'POULE (DAMES)'!$AK$9,'POULE (DAMES)'!$AK$26,'POULE (DAMES)'!$AJ$40</definedName>
    <definedName name="Senegal_Played" localSheetId="9">'POULES (I+J)'!$AK$9,'POULES (I+J)'!$AK$26,'POULES (I+J)'!$AJ$40</definedName>
    <definedName name="Senegal_Played" localSheetId="13">'POULES (RECREANTEN)'!$AK$9,'POULES (RECREANTEN)'!$AK$26,'POULES (RECREANTEN)'!$AJ$40</definedName>
    <definedName name="Senegal_Played" localSheetId="12">'POULES (WINNAARS)'!$AK$9,'POULES (WINNAARS)'!$AK$26,'POULES (WINNAARS)'!$AJ$40</definedName>
    <definedName name="Senegal_Played">'POULES (A-H)'!$AK$9,'POULES (A-H)'!$AK$26,'POULES (A-H)'!$AJ$41</definedName>
    <definedName name="Slovenia_Against" localSheetId="14">'POULE (DAMES)'!$AJ$14,'POULE (DAMES)'!$AJ$30,'POULE (DAMES)'!$AK$46</definedName>
    <definedName name="Slovenia_Against" localSheetId="9">'POULES (I+J)'!$AJ$14,'POULES (I+J)'!$AJ$30,'POULES (I+J)'!$AK$46</definedName>
    <definedName name="Slovenia_Against" localSheetId="13">'POULES (RECREANTEN)'!$AJ$14,'POULES (RECREANTEN)'!$AJ$30,'POULES (RECREANTEN)'!$AK$46</definedName>
    <definedName name="Slovenia_Against" localSheetId="12">'POULES (WINNAARS)'!$AJ$14,'POULES (WINNAARS)'!$AJ$30,'POULES (WINNAARS)'!$AK$46</definedName>
    <definedName name="Slovenia_Against">'POULES (A-H)'!$AJ$14,'POULES (A-H)'!$AJ$30,'POULES (A-H)'!$AK$47</definedName>
    <definedName name="Slovenia_Played" localSheetId="14">'POULE (DAMES)'!$AK$14,'POULE (DAMES)'!$AK$30,'POULE (DAMES)'!$AJ$46</definedName>
    <definedName name="Slovenia_Played" localSheetId="9">'POULES (I+J)'!$AK$14,'POULES (I+J)'!$AK$30,'POULES (I+J)'!$AJ$46</definedName>
    <definedName name="Slovenia_Played" localSheetId="13">'POULES (RECREANTEN)'!$AK$14,'POULES (RECREANTEN)'!$AK$30,'POULES (RECREANTEN)'!$AJ$46</definedName>
    <definedName name="Slovenia_Played" localSheetId="12">'POULES (WINNAARS)'!$AK$14,'POULES (WINNAARS)'!$AK$30,'POULES (WINNAARS)'!$AJ$46</definedName>
    <definedName name="Slovenia_Played">'POULES (A-H)'!$AK$14,'POULES (A-H)'!$AK$30,'POULES (A-H)'!$AJ$47</definedName>
    <definedName name="South_Africa_Against" localSheetId="14">'POULE (DAMES)'!$AJ$12,'POULE (DAMES)'!$AK$30,'POULE (DAMES)'!$AK$47</definedName>
    <definedName name="South_Africa_Against" localSheetId="9">'POULES (I+J)'!$AJ$12,'POULES (I+J)'!$AK$30,'POULES (I+J)'!$AK$47</definedName>
    <definedName name="South_Africa_Against" localSheetId="13">'POULES (RECREANTEN)'!$AJ$12,'POULES (RECREANTEN)'!$AK$30,'POULES (RECREANTEN)'!$AK$47</definedName>
    <definedName name="South_Africa_Against" localSheetId="12">'POULES (WINNAARS)'!$AJ$12,'POULES (WINNAARS)'!$AK$30,'POULES (WINNAARS)'!$AK$47</definedName>
    <definedName name="South_Africa_Against">'POULES (A-H)'!$AJ$12,'POULES (A-H)'!$AK$30,'POULES (A-H)'!$AK$48</definedName>
    <definedName name="South_Africa_Played" localSheetId="14">'POULE (DAMES)'!$AK$12,'POULE (DAMES)'!$AJ$30,'POULE (DAMES)'!$AJ$47</definedName>
    <definedName name="South_Africa_Played" localSheetId="9">'POULES (I+J)'!$AK$12,'POULES (I+J)'!$AJ$30,'POULES (I+J)'!$AJ$47</definedName>
    <definedName name="South_Africa_Played" localSheetId="13">'POULES (RECREANTEN)'!$AK$12,'POULES (RECREANTEN)'!$AJ$30,'POULES (RECREANTEN)'!$AJ$47</definedName>
    <definedName name="South_Africa_Played" localSheetId="12">'POULES (WINNAARS)'!$AK$12,'POULES (WINNAARS)'!$AJ$30,'POULES (WINNAARS)'!$AJ$47</definedName>
    <definedName name="South_Africa_Played">'POULES (A-H)'!$AK$12,'POULES (A-H)'!$AJ$30,'POULES (A-H)'!$AJ$48</definedName>
    <definedName name="South_Korea_Against" localSheetId="14">'POULE (DAMES)'!$AK$20,'POULE (DAMES)'!$AK$37,'POULE (DAMES)'!$AJ$55</definedName>
    <definedName name="South_Korea_Against" localSheetId="9">'POULES (I+J)'!$AK$20,'POULES (I+J)'!$AK$37,'POULES (I+J)'!$AJ$55</definedName>
    <definedName name="South_Korea_Against" localSheetId="13">'POULES (RECREANTEN)'!$AK$20,'POULES (RECREANTEN)'!$AK$37,'POULES (RECREANTEN)'!$AJ$55</definedName>
    <definedName name="South_Korea_Against" localSheetId="12">'POULES (WINNAARS)'!$AK$20,'POULES (WINNAARS)'!$AK$37,'POULES (WINNAARS)'!$AJ$55</definedName>
    <definedName name="South_Korea_Against">'POULES (A-H)'!$AK$20,'POULES (A-H)'!$AK$38,'POULES (A-H)'!$AJ$56</definedName>
    <definedName name="South_Korea_Played" localSheetId="14">'POULE (DAMES)'!$AJ$20,'POULE (DAMES)'!$AJ$37,'POULE (DAMES)'!$AK$55</definedName>
    <definedName name="South_Korea_Played" localSheetId="9">'POULES (I+J)'!$AJ$20,'POULES (I+J)'!$AJ$37,'POULES (I+J)'!$AK$55</definedName>
    <definedName name="South_Korea_Played" localSheetId="13">'POULES (RECREANTEN)'!$AJ$20,'POULES (RECREANTEN)'!$AJ$37,'POULES (RECREANTEN)'!$AK$55</definedName>
    <definedName name="South_Korea_Played" localSheetId="12">'POULES (WINNAARS)'!$AJ$20,'POULES (WINNAARS)'!$AJ$37,'POULES (WINNAARS)'!$AK$55</definedName>
    <definedName name="South_Korea_Played">'POULES (A-H)'!$AJ$20,'POULES (A-H)'!$AJ$38,'POULES (A-H)'!$AK$56</definedName>
    <definedName name="Spain_Against" localSheetId="14">'POULE (DAMES)'!$AK$14,'POULE (DAMES)'!$AK$28,'POULE (DAMES)'!$AJ$47</definedName>
    <definedName name="Spain_Against" localSheetId="9">'POULES (I+J)'!$AK$14,'POULES (I+J)'!$AK$28,'POULES (I+J)'!$AJ$47</definedName>
    <definedName name="Spain_Against" localSheetId="13">'POULES (RECREANTEN)'!$AK$14,'POULES (RECREANTEN)'!$AK$28,'POULES (RECREANTEN)'!$AJ$47</definedName>
    <definedName name="Spain_Against" localSheetId="12">'POULES (WINNAARS)'!$AK$14,'POULES (WINNAARS)'!$AK$28,'POULES (WINNAARS)'!$AJ$47</definedName>
    <definedName name="Spain_Against">'POULES (A-H)'!$AK$14,'POULES (A-H)'!$AK$28,'POULES (A-H)'!$AJ$48</definedName>
    <definedName name="Spain_Played" localSheetId="14">'POULE (DAMES)'!$AJ$14,'POULE (DAMES)'!$AJ$28,'POULE (DAMES)'!$AK$47</definedName>
    <definedName name="Spain_Played" localSheetId="9">'POULES (I+J)'!$AJ$14,'POULES (I+J)'!$AJ$28,'POULES (I+J)'!$AK$47</definedName>
    <definedName name="Spain_Played" localSheetId="13">'POULES (RECREANTEN)'!$AJ$14,'POULES (RECREANTEN)'!$AJ$28,'POULES (RECREANTEN)'!$AK$47</definedName>
    <definedName name="Spain_Played" localSheetId="12">'POULES (WINNAARS)'!$AJ$14,'POULES (WINNAARS)'!$AJ$28,'POULES (WINNAARS)'!$AK$47</definedName>
    <definedName name="Spain_Played">'POULES (A-H)'!$AJ$14,'POULES (A-H)'!$AJ$28,'POULES (A-H)'!$AK$48</definedName>
    <definedName name="Sweden_Against" localSheetId="14">'POULE (DAMES)'!$AJ$11,'POULE (DAMES)'!$AK$27,'POULE (DAMES)'!$AK$45</definedName>
    <definedName name="Sweden_Against" localSheetId="9">'POULES (I+J)'!$AJ$11,'POULES (I+J)'!$AK$27,'POULES (I+J)'!$AK$45</definedName>
    <definedName name="Sweden_Against" localSheetId="13">'POULES (RECREANTEN)'!$AJ$11,'POULES (RECREANTEN)'!$AK$27,'POULES (RECREANTEN)'!$AK$45</definedName>
    <definedName name="Sweden_Against" localSheetId="12">'POULES (WINNAARS)'!$AJ$11,'POULES (WINNAARS)'!$AK$27,'POULES (WINNAARS)'!$AK$45</definedName>
    <definedName name="Sweden_Against">'POULES (A-H)'!$AJ$11,'POULES (A-H)'!$AK$27,'POULES (A-H)'!$AK$46</definedName>
    <definedName name="Sweden_Played" localSheetId="14">'POULE (DAMES)'!$AK$11,'POULE (DAMES)'!$AJ$27,'POULE (DAMES)'!$AJ$45</definedName>
    <definedName name="Sweden_Played" localSheetId="9">'POULES (I+J)'!$AK$11,'POULES (I+J)'!$AJ$27,'POULES (I+J)'!$AJ$45</definedName>
    <definedName name="Sweden_Played" localSheetId="13">'POULES (RECREANTEN)'!$AK$11,'POULES (RECREANTEN)'!$AJ$27,'POULES (RECREANTEN)'!$AJ$45</definedName>
    <definedName name="Sweden_Played" localSheetId="12">'POULES (WINNAARS)'!$AK$11,'POULES (WINNAARS)'!$AJ$27,'POULES (WINNAARS)'!$AJ$45</definedName>
    <definedName name="Sweden_Played">'POULES (A-H)'!$AK$11,'POULES (A-H)'!$AJ$27,'POULES (A-H)'!$AJ$46</definedName>
    <definedName name="Tunisia_Against" localSheetId="14">'POULE (DAMES)'!$AJ$21,'POULE (DAMES)'!$AK$38,'POULE (DAMES)'!$AK$53</definedName>
    <definedName name="Tunisia_Against" localSheetId="9">'POULES (I+J)'!$AJ$21,'POULES (I+J)'!$AK$38,'POULES (I+J)'!$AK$53</definedName>
    <definedName name="Tunisia_Against" localSheetId="13">'POULES (RECREANTEN)'!$AJ$21,'POULES (RECREANTEN)'!$AK$38,'POULES (RECREANTEN)'!$AK$53</definedName>
    <definedName name="Tunisia_Against" localSheetId="12">'POULES (WINNAARS)'!$AJ$21,'POULES (WINNAARS)'!$AK$38,'POULES (WINNAARS)'!$AK$53</definedName>
    <definedName name="Tunisia_Against">'POULES (A-H)'!$AJ$21,'POULES (A-H)'!$AK$39,'POULES (A-H)'!$AK$54</definedName>
    <definedName name="Tunisia_Played" localSheetId="14">'POULE (DAMES)'!$AK$21,'POULE (DAMES)'!$AJ$38,'POULE (DAMES)'!$AJ$53</definedName>
    <definedName name="Tunisia_Played" localSheetId="9">'POULES (I+J)'!$AK$21,'POULES (I+J)'!$AJ$38,'POULES (I+J)'!$AJ$53</definedName>
    <definedName name="Tunisia_Played" localSheetId="13">'POULES (RECREANTEN)'!$AK$21,'POULES (RECREANTEN)'!$AJ$38,'POULES (RECREANTEN)'!$AJ$53</definedName>
    <definedName name="Tunisia_Played" localSheetId="12">'POULES (WINNAARS)'!$AK$21,'POULES (WINNAARS)'!$AJ$38,'POULES (WINNAARS)'!$AJ$53</definedName>
    <definedName name="Tunisia_Played">'POULES (A-H)'!$AK$21,'POULES (A-H)'!$AJ$39,'POULES (A-H)'!$AJ$54</definedName>
    <definedName name="Turkey_Against" localSheetId="14">'POULE (DAMES)'!$AJ$16,'POULE (DAMES)'!$AJ$35,'POULE (DAMES)'!$AK$48</definedName>
    <definedName name="Turkey_Against" localSheetId="9">'POULES (I+J)'!$AJ$16,'POULES (I+J)'!$AJ$35,'POULES (I+J)'!$AK$48</definedName>
    <definedName name="Turkey_Against" localSheetId="13">'POULES (RECREANTEN)'!$AJ$16,'POULES (RECREANTEN)'!$AJ$35,'POULES (RECREANTEN)'!$AK$48</definedName>
    <definedName name="Turkey_Against" localSheetId="12">'POULES (WINNAARS)'!$AJ$16,'POULES (WINNAARS)'!$AJ$35,'POULES (WINNAARS)'!$AK$48</definedName>
    <definedName name="Turkey_Against">'POULES (A-H)'!$AJ$16,'POULES (A-H)'!$AJ$36,'POULES (A-H)'!$AK$49</definedName>
    <definedName name="Turkey_Played" localSheetId="14">'POULE (DAMES)'!$AK$16,'POULE (DAMES)'!$AK$35,'POULE (DAMES)'!$AJ$48</definedName>
    <definedName name="Turkey_Played" localSheetId="9">'POULES (I+J)'!$AK$16,'POULES (I+J)'!$AK$35,'POULES (I+J)'!$AJ$48</definedName>
    <definedName name="Turkey_Played" localSheetId="13">'POULES (RECREANTEN)'!$AK$16,'POULES (RECREANTEN)'!$AK$35,'POULES (RECREANTEN)'!$AJ$48</definedName>
    <definedName name="Turkey_Played" localSheetId="12">'POULES (WINNAARS)'!$AK$16,'POULES (WINNAARS)'!$AK$35,'POULES (WINNAARS)'!$AJ$48</definedName>
    <definedName name="Turkey_Played">'POULES (A-H)'!$AK$16,'POULES (A-H)'!$AK$36,'POULES (A-H)'!$AJ$49</definedName>
    <definedName name="Uruguay_Against" localSheetId="14">'POULE (DAMES)'!$AK$7,'POULE (DAMES)'!$AJ$24,'POULE (DAMES)'!$AJ$40</definedName>
    <definedName name="Uruguay_Against" localSheetId="9">'POULES (I+J)'!$AK$7,'POULES (I+J)'!$AJ$24,'POULES (I+J)'!$AJ$40</definedName>
    <definedName name="Uruguay_Against" localSheetId="13">'POULES (RECREANTEN)'!$AK$7,'POULES (RECREANTEN)'!$AJ$24,'POULES (RECREANTEN)'!$AJ$40</definedName>
    <definedName name="Uruguay_Against" localSheetId="12">'POULES (WINNAARS)'!$AK$7,'POULES (WINNAARS)'!$AJ$24,'POULES (WINNAARS)'!$AJ$40</definedName>
    <definedName name="Uruguay_Against">'POULES (A-H)'!$AK$7,'POULES (A-H)'!$AJ$24,'POULES (A-H)'!$AJ$41</definedName>
    <definedName name="Uruguay_Played" localSheetId="14">'POULE (DAMES)'!$AJ$7,'POULE (DAMES)'!$AK$24,'POULE (DAMES)'!$AK$40</definedName>
    <definedName name="Uruguay_Played" localSheetId="9">'POULES (I+J)'!$AJ$7,'POULES (I+J)'!$AK$24,'POULES (I+J)'!$AK$40</definedName>
    <definedName name="Uruguay_Played" localSheetId="13">'POULES (RECREANTEN)'!$AJ$7,'POULES (RECREANTEN)'!$AK$24,'POULES (RECREANTEN)'!$AK$40</definedName>
    <definedName name="Uruguay_Played" localSheetId="12">'POULES (WINNAARS)'!$AJ$7,'POULES (WINNAARS)'!$AK$24,'POULES (WINNAARS)'!$AK$40</definedName>
    <definedName name="Uruguay_Played">'POULES (A-H)'!$AJ$7,'POULES (A-H)'!$AK$24,'POULES (A-H)'!$AK$41</definedName>
    <definedName name="USA_Against" localSheetId="14">'POULE (DAMES)'!$AK$22,'POULE (DAMES)'!$AJ$37,'POULE (DAMES)'!$AJ$54</definedName>
    <definedName name="USA_Against" localSheetId="9">'POULES (I+J)'!$AK$22,'POULES (I+J)'!$AJ$37,'POULES (I+J)'!$AJ$54</definedName>
    <definedName name="USA_Against" localSheetId="13">'POULES (RECREANTEN)'!$AK$22,'POULES (RECREANTEN)'!$AJ$37,'POULES (RECREANTEN)'!$AJ$54</definedName>
    <definedName name="USA_Against" localSheetId="12">'POULES (WINNAARS)'!$AK$22,'POULES (WINNAARS)'!$AJ$37,'POULES (WINNAARS)'!$AJ$54</definedName>
    <definedName name="USA_Against">'POULES (A-H)'!$AK$22,'POULES (A-H)'!$AJ$38,'POULES (A-H)'!$AJ$55</definedName>
    <definedName name="USA_Played" localSheetId="14">'POULE (DAMES)'!$AJ$22,'POULE (DAMES)'!$AK$37,'POULE (DAMES)'!$AK$54</definedName>
    <definedName name="USA_Played" localSheetId="9">'POULES (I+J)'!$AJ$22,'POULES (I+J)'!$AK$37,'POULES (I+J)'!$AK$54</definedName>
    <definedName name="USA_Played" localSheetId="13">'POULES (RECREANTEN)'!$AJ$22,'POULES (RECREANTEN)'!$AK$37,'POULES (RECREANTEN)'!$AK$54</definedName>
    <definedName name="USA_Played" localSheetId="12">'POULES (WINNAARS)'!$AJ$22,'POULES (WINNAARS)'!$AK$37,'POULES (WINNAARS)'!$AK$54</definedName>
    <definedName name="USA_Played">'POULES (A-H)'!$AJ$22,'POULES (A-H)'!$AK$38,'POULES (A-H)'!$AK$55</definedName>
    <definedName name="Winpoints">'[1]Group Points'!$B$4</definedName>
  </definedNames>
  <calcPr calcId="162912" concurrentCalc="0"/>
</workbook>
</file>

<file path=xl/calcChain.xml><?xml version="1.0" encoding="utf-8"?>
<calcChain xmlns="http://schemas.openxmlformats.org/spreadsheetml/2006/main">
  <c r="B15" i="33" l="1"/>
  <c r="B16" i="33"/>
  <c r="B32" i="33"/>
  <c r="B31" i="33"/>
  <c r="B58" i="47"/>
  <c r="B94" i="47"/>
  <c r="B105" i="47"/>
  <c r="B141" i="47"/>
  <c r="B152" i="47"/>
  <c r="B188" i="47"/>
  <c r="B199" i="47"/>
  <c r="B235" i="47"/>
  <c r="B246" i="47"/>
  <c r="B282" i="47"/>
  <c r="B293" i="47"/>
  <c r="B329" i="47"/>
  <c r="B340" i="47"/>
  <c r="J352" i="47"/>
  <c r="B352" i="47"/>
  <c r="J350" i="47"/>
  <c r="B350" i="47"/>
  <c r="J348" i="47"/>
  <c r="B348" i="47"/>
  <c r="B323" i="47"/>
  <c r="B334" i="47"/>
  <c r="J346" i="47"/>
  <c r="B346" i="47"/>
  <c r="N344" i="47"/>
  <c r="B332" i="47"/>
  <c r="J344" i="47"/>
  <c r="F344" i="47"/>
  <c r="B344" i="47"/>
  <c r="J340" i="47"/>
  <c r="J338" i="47"/>
  <c r="B338" i="47"/>
  <c r="J336" i="47"/>
  <c r="B336" i="47"/>
  <c r="J334" i="47"/>
  <c r="N332" i="47"/>
  <c r="J332" i="47"/>
  <c r="J329" i="47"/>
  <c r="J327" i="47"/>
  <c r="B327" i="47"/>
  <c r="J325" i="47"/>
  <c r="B325" i="47"/>
  <c r="J323" i="47"/>
  <c r="B285" i="47"/>
  <c r="J321" i="47"/>
  <c r="B321" i="47"/>
  <c r="J317" i="47"/>
  <c r="B317" i="47"/>
  <c r="J315" i="47"/>
  <c r="B315" i="47"/>
  <c r="J313" i="47"/>
  <c r="B313" i="47"/>
  <c r="B287" i="47"/>
  <c r="J311" i="47"/>
  <c r="B311" i="47"/>
  <c r="N309" i="47"/>
  <c r="J309" i="47"/>
  <c r="F309" i="47"/>
  <c r="B309" i="47"/>
  <c r="J305" i="47"/>
  <c r="B305" i="47"/>
  <c r="J303" i="47"/>
  <c r="B303" i="47"/>
  <c r="J301" i="47"/>
  <c r="B301" i="47"/>
  <c r="J299" i="47"/>
  <c r="B299" i="47"/>
  <c r="J297" i="47"/>
  <c r="B297" i="47"/>
  <c r="J293" i="47"/>
  <c r="J291" i="47"/>
  <c r="B291" i="47"/>
  <c r="J289" i="47"/>
  <c r="B289" i="47"/>
  <c r="J287" i="47"/>
  <c r="J285" i="47"/>
  <c r="J282" i="47"/>
  <c r="J280" i="47"/>
  <c r="B280" i="47"/>
  <c r="J278" i="47"/>
  <c r="B278" i="47"/>
  <c r="B252" i="47"/>
  <c r="J276" i="47"/>
  <c r="B276" i="47"/>
  <c r="B238" i="47"/>
  <c r="J274" i="47"/>
  <c r="B274" i="47"/>
  <c r="J270" i="47"/>
  <c r="B270" i="47"/>
  <c r="J268" i="47"/>
  <c r="B268" i="47"/>
  <c r="J266" i="47"/>
  <c r="B266" i="47"/>
  <c r="J264" i="47"/>
  <c r="B264" i="47"/>
  <c r="J262" i="47"/>
  <c r="B262" i="47"/>
  <c r="J258" i="47"/>
  <c r="B258" i="47"/>
  <c r="J256" i="47"/>
  <c r="B256" i="47"/>
  <c r="J254" i="47"/>
  <c r="B254" i="47"/>
  <c r="J252" i="47"/>
  <c r="J250" i="47"/>
  <c r="B250" i="47"/>
  <c r="J246" i="47"/>
  <c r="J244" i="47"/>
  <c r="B244" i="47"/>
  <c r="J242" i="47"/>
  <c r="B242" i="47"/>
  <c r="B217" i="47"/>
  <c r="J240" i="47"/>
  <c r="B240" i="47"/>
  <c r="F238" i="47"/>
  <c r="N238" i="47"/>
  <c r="J238" i="47"/>
  <c r="J235" i="47"/>
  <c r="J233" i="47"/>
  <c r="B233" i="47"/>
  <c r="J231" i="47"/>
  <c r="B231" i="47"/>
  <c r="J229" i="47"/>
  <c r="B229" i="47"/>
  <c r="N227" i="47"/>
  <c r="B191" i="47"/>
  <c r="J227" i="47"/>
  <c r="F227" i="47"/>
  <c r="B227" i="47"/>
  <c r="J223" i="47"/>
  <c r="B223" i="47"/>
  <c r="J221" i="47"/>
  <c r="B221" i="47"/>
  <c r="J219" i="47"/>
  <c r="B219" i="47"/>
  <c r="J217" i="47"/>
  <c r="N215" i="47"/>
  <c r="J215" i="47"/>
  <c r="B215" i="47"/>
  <c r="J211" i="47"/>
  <c r="B211" i="47"/>
  <c r="J209" i="47"/>
  <c r="B209" i="47"/>
  <c r="J207" i="47"/>
  <c r="B207" i="47"/>
  <c r="B182" i="47"/>
  <c r="B193" i="47"/>
  <c r="J205" i="47"/>
  <c r="B205" i="47"/>
  <c r="F191" i="47"/>
  <c r="N203" i="47"/>
  <c r="J203" i="47"/>
  <c r="F203" i="47"/>
  <c r="B203" i="47"/>
  <c r="J199" i="47"/>
  <c r="J197" i="47"/>
  <c r="B197" i="47"/>
  <c r="J195" i="47"/>
  <c r="B195" i="47"/>
  <c r="J193" i="47"/>
  <c r="N191" i="47"/>
  <c r="J191" i="47"/>
  <c r="J188" i="47"/>
  <c r="J186" i="47"/>
  <c r="B186" i="47"/>
  <c r="J184" i="47"/>
  <c r="B184" i="47"/>
  <c r="J182" i="47"/>
  <c r="N180" i="47"/>
  <c r="B144" i="47"/>
  <c r="J180" i="47"/>
  <c r="B180" i="47"/>
  <c r="J176" i="47"/>
  <c r="B176" i="47"/>
  <c r="J174" i="47"/>
  <c r="B174" i="47"/>
  <c r="J172" i="47"/>
  <c r="B172" i="47"/>
  <c r="B146" i="47"/>
  <c r="J170" i="47"/>
  <c r="B170" i="47"/>
  <c r="N168" i="47"/>
  <c r="J168" i="47"/>
  <c r="F168" i="47"/>
  <c r="B168" i="47"/>
  <c r="J164" i="47"/>
  <c r="B164" i="47"/>
  <c r="J162" i="47"/>
  <c r="B162" i="47"/>
  <c r="J160" i="47"/>
  <c r="B160" i="47"/>
  <c r="J158" i="47"/>
  <c r="B158" i="47"/>
  <c r="N156" i="47"/>
  <c r="J156" i="47"/>
  <c r="F156" i="47"/>
  <c r="B156" i="47"/>
  <c r="J152" i="47"/>
  <c r="J150" i="47"/>
  <c r="B150" i="47"/>
  <c r="J148" i="47"/>
  <c r="B148" i="47"/>
  <c r="J146" i="47"/>
  <c r="N144" i="47"/>
  <c r="J144" i="47"/>
  <c r="J141" i="47"/>
  <c r="J139" i="47"/>
  <c r="B139" i="47"/>
  <c r="J137" i="47"/>
  <c r="B137" i="47"/>
  <c r="B111" i="47"/>
  <c r="J135" i="47"/>
  <c r="B135" i="47"/>
  <c r="F121" i="47"/>
  <c r="N133" i="47"/>
  <c r="B97" i="47"/>
  <c r="J133" i="47"/>
  <c r="F133" i="47"/>
  <c r="B133" i="47"/>
  <c r="J129" i="47"/>
  <c r="B129" i="47"/>
  <c r="J127" i="47"/>
  <c r="B127" i="47"/>
  <c r="J125" i="47"/>
  <c r="B125" i="47"/>
  <c r="B123" i="47"/>
  <c r="J123" i="47"/>
  <c r="N121" i="47"/>
  <c r="J121" i="47"/>
  <c r="B121" i="47"/>
  <c r="J117" i="47"/>
  <c r="B117" i="47"/>
  <c r="J115" i="47"/>
  <c r="B115" i="47"/>
  <c r="J113" i="47"/>
  <c r="B113" i="47"/>
  <c r="J111" i="47"/>
  <c r="N109" i="47"/>
  <c r="J109" i="47"/>
  <c r="B109" i="47"/>
  <c r="J105" i="47"/>
  <c r="J103" i="47"/>
  <c r="B103" i="47"/>
  <c r="J101" i="47"/>
  <c r="B101" i="47"/>
  <c r="B76" i="47"/>
  <c r="B88" i="47"/>
  <c r="B99" i="47"/>
  <c r="J99" i="47"/>
  <c r="N97" i="47"/>
  <c r="J97" i="47"/>
  <c r="J94" i="47"/>
  <c r="J92" i="47"/>
  <c r="B92" i="47"/>
  <c r="J90" i="47"/>
  <c r="B90" i="47"/>
  <c r="J88" i="47"/>
  <c r="N86" i="47"/>
  <c r="B50" i="47"/>
  <c r="J86" i="47"/>
  <c r="F86" i="47"/>
  <c r="B86" i="47"/>
  <c r="J82" i="47"/>
  <c r="B82" i="47"/>
  <c r="J80" i="47"/>
  <c r="B80" i="47"/>
  <c r="J78" i="47"/>
  <c r="B78" i="47"/>
  <c r="J76" i="47"/>
  <c r="N74" i="47"/>
  <c r="J74" i="47"/>
  <c r="B74" i="47"/>
  <c r="J70" i="47"/>
  <c r="B70" i="47"/>
  <c r="J68" i="47"/>
  <c r="B68" i="47"/>
  <c r="J66" i="47"/>
  <c r="B66" i="47"/>
  <c r="B40" i="47"/>
  <c r="B52" i="47"/>
  <c r="J64" i="47"/>
  <c r="B64" i="47"/>
  <c r="N62" i="47"/>
  <c r="J62" i="47"/>
  <c r="F62" i="47"/>
  <c r="B62" i="47"/>
  <c r="J58" i="47"/>
  <c r="J56" i="47"/>
  <c r="B56" i="47"/>
  <c r="J54" i="47"/>
  <c r="B54" i="47"/>
  <c r="J52" i="47"/>
  <c r="N50" i="47"/>
  <c r="J50" i="47"/>
  <c r="B10" i="47"/>
  <c r="J46" i="47"/>
  <c r="B46" i="47"/>
  <c r="J44" i="47"/>
  <c r="B44" i="47"/>
  <c r="J42" i="47"/>
  <c r="B42" i="47"/>
  <c r="J40" i="47"/>
  <c r="N38" i="47"/>
  <c r="B2" i="47"/>
  <c r="J38" i="47"/>
  <c r="B38" i="47"/>
  <c r="J34" i="47"/>
  <c r="B34" i="47"/>
  <c r="J32" i="47"/>
  <c r="B32" i="47"/>
  <c r="J30" i="47"/>
  <c r="B30" i="47"/>
  <c r="B4" i="47"/>
  <c r="J28" i="47"/>
  <c r="B28" i="47"/>
  <c r="N26" i="47"/>
  <c r="J26" i="47"/>
  <c r="F26" i="47"/>
  <c r="B26" i="47"/>
  <c r="J22" i="47"/>
  <c r="B22" i="47"/>
  <c r="J20" i="47"/>
  <c r="B20" i="47"/>
  <c r="J18" i="47"/>
  <c r="B18" i="47"/>
  <c r="J16" i="47"/>
  <c r="B16" i="47"/>
  <c r="N14" i="47"/>
  <c r="J14" i="47"/>
  <c r="F14" i="47"/>
  <c r="B14" i="47"/>
  <c r="J10" i="47"/>
  <c r="J8" i="47"/>
  <c r="B8" i="47"/>
  <c r="J6" i="47"/>
  <c r="B6" i="47"/>
  <c r="J4" i="47"/>
  <c r="N2" i="47"/>
  <c r="J2" i="47"/>
  <c r="B303" i="35"/>
  <c r="B301" i="35"/>
  <c r="J291" i="35"/>
  <c r="J289" i="35"/>
  <c r="B291" i="35"/>
  <c r="B289" i="35"/>
  <c r="J280" i="35"/>
  <c r="J278" i="35"/>
  <c r="B280" i="35"/>
  <c r="B278" i="35"/>
  <c r="J268" i="35"/>
  <c r="J266" i="35"/>
  <c r="B268" i="35"/>
  <c r="B266" i="35"/>
  <c r="J256" i="35"/>
  <c r="J254" i="35"/>
  <c r="B256" i="35"/>
  <c r="B254" i="35"/>
  <c r="J244" i="35"/>
  <c r="J242" i="35"/>
  <c r="B244" i="35"/>
  <c r="B242" i="35"/>
  <c r="J233" i="35"/>
  <c r="J231" i="35"/>
  <c r="B233" i="35"/>
  <c r="B231" i="35"/>
  <c r="J221" i="35"/>
  <c r="J219" i="35"/>
  <c r="B221" i="35"/>
  <c r="B219" i="35"/>
  <c r="J207" i="35"/>
  <c r="B209" i="35"/>
  <c r="B207" i="35"/>
  <c r="J197" i="35"/>
  <c r="J209" i="35"/>
  <c r="J195" i="35"/>
  <c r="B197" i="35"/>
  <c r="B195" i="35"/>
  <c r="J186" i="35"/>
  <c r="J184" i="35"/>
  <c r="B186" i="35"/>
  <c r="B184" i="35"/>
  <c r="J174" i="35"/>
  <c r="J172" i="35"/>
  <c r="B174" i="35"/>
  <c r="B172" i="35"/>
  <c r="J162" i="35"/>
  <c r="J160" i="35"/>
  <c r="J150" i="35"/>
  <c r="J148" i="35"/>
  <c r="B150" i="35"/>
  <c r="B148" i="35"/>
  <c r="J139" i="35"/>
  <c r="J137" i="35"/>
  <c r="B139" i="35"/>
  <c r="B137" i="35"/>
  <c r="J127" i="35"/>
  <c r="J125" i="35"/>
  <c r="B127" i="35"/>
  <c r="B125" i="35"/>
  <c r="J115" i="35"/>
  <c r="J113" i="35"/>
  <c r="B115" i="35"/>
  <c r="B113" i="35"/>
  <c r="J103" i="35"/>
  <c r="J101" i="35"/>
  <c r="B103" i="35"/>
  <c r="B101" i="35"/>
  <c r="J92" i="35"/>
  <c r="J90" i="35"/>
  <c r="B92" i="35"/>
  <c r="B90" i="35"/>
  <c r="J80" i="35"/>
  <c r="J78" i="35"/>
  <c r="B80" i="35"/>
  <c r="B78" i="35"/>
  <c r="J68" i="35"/>
  <c r="J66" i="35"/>
  <c r="B68" i="35"/>
  <c r="B66" i="35"/>
  <c r="J56" i="35"/>
  <c r="J54" i="35"/>
  <c r="B56" i="35"/>
  <c r="B54" i="35"/>
  <c r="J44" i="35"/>
  <c r="J42" i="35"/>
  <c r="B44" i="35"/>
  <c r="B42" i="35"/>
  <c r="J32" i="35"/>
  <c r="J30" i="35"/>
  <c r="B32" i="35"/>
  <c r="B30" i="35"/>
  <c r="B20" i="35"/>
  <c r="B18" i="35"/>
  <c r="J8" i="35"/>
  <c r="J6" i="35"/>
  <c r="B8" i="35"/>
  <c r="B6" i="35"/>
  <c r="B323" i="35"/>
  <c r="B287" i="35"/>
  <c r="B252" i="35"/>
  <c r="B217" i="35"/>
  <c r="B182" i="35"/>
  <c r="B146" i="35"/>
  <c r="B111" i="35"/>
  <c r="B76" i="35"/>
  <c r="B40" i="35"/>
  <c r="B4" i="35"/>
  <c r="J350" i="30"/>
  <c r="J348" i="30"/>
  <c r="B350" i="30"/>
  <c r="B348" i="30"/>
  <c r="J338" i="30"/>
  <c r="J336" i="30"/>
  <c r="B338" i="30"/>
  <c r="B336" i="30"/>
  <c r="B325" i="30"/>
  <c r="J315" i="30"/>
  <c r="J313" i="30"/>
  <c r="B315" i="30"/>
  <c r="B313" i="30"/>
  <c r="J303" i="30"/>
  <c r="J301" i="30"/>
  <c r="B303" i="30"/>
  <c r="B301" i="30"/>
  <c r="J291" i="30"/>
  <c r="J289" i="30"/>
  <c r="B291" i="30"/>
  <c r="B289" i="30"/>
  <c r="B280" i="30"/>
  <c r="B278" i="30"/>
  <c r="J280" i="30"/>
  <c r="J278" i="30"/>
  <c r="J268" i="30"/>
  <c r="J266" i="30"/>
  <c r="B268" i="30"/>
  <c r="B266" i="30"/>
  <c r="J256" i="30"/>
  <c r="J254" i="30"/>
  <c r="B256" i="30"/>
  <c r="B254" i="30"/>
  <c r="J244" i="30"/>
  <c r="J242" i="30"/>
  <c r="B244" i="30"/>
  <c r="B242" i="30"/>
  <c r="J233" i="30"/>
  <c r="J231" i="30"/>
  <c r="B233" i="30"/>
  <c r="B231" i="30"/>
  <c r="J221" i="30"/>
  <c r="J219" i="30"/>
  <c r="B221" i="30"/>
  <c r="B219" i="30"/>
  <c r="J209" i="30"/>
  <c r="J207" i="30"/>
  <c r="B209" i="30"/>
  <c r="B207" i="30"/>
  <c r="J197" i="30"/>
  <c r="J195" i="30"/>
  <c r="B197" i="30"/>
  <c r="B195" i="30"/>
  <c r="J186" i="30"/>
  <c r="J184" i="30"/>
  <c r="B186" i="30"/>
  <c r="B184" i="30"/>
  <c r="J174" i="30"/>
  <c r="J172" i="30"/>
  <c r="B174" i="30"/>
  <c r="B172" i="30"/>
  <c r="J162" i="30"/>
  <c r="J160" i="30"/>
  <c r="B162" i="30"/>
  <c r="B160" i="30"/>
  <c r="J150" i="30"/>
  <c r="J148" i="30"/>
  <c r="B150" i="30"/>
  <c r="B148" i="30"/>
  <c r="J139" i="30"/>
  <c r="J137" i="30"/>
  <c r="J127" i="30"/>
  <c r="J125" i="30"/>
  <c r="J115" i="30"/>
  <c r="J113" i="30"/>
  <c r="B115" i="30"/>
  <c r="B113" i="30"/>
  <c r="B103" i="30"/>
  <c r="B101" i="30"/>
  <c r="J327" i="30"/>
  <c r="J325" i="30"/>
  <c r="J323" i="30"/>
  <c r="B327" i="30"/>
  <c r="J26" i="4"/>
  <c r="E26" i="4"/>
  <c r="J25" i="4"/>
  <c r="E25" i="4"/>
  <c r="J23" i="4"/>
  <c r="E23" i="4"/>
  <c r="J22" i="4"/>
  <c r="E22" i="4"/>
  <c r="J21" i="4"/>
  <c r="E21" i="4"/>
  <c r="D20" i="4"/>
  <c r="S27" i="1"/>
  <c r="T28" i="1"/>
  <c r="Y28" i="1"/>
  <c r="T29" i="1"/>
  <c r="Y29" i="1"/>
  <c r="T30" i="1"/>
  <c r="Y30" i="1"/>
  <c r="T31" i="1"/>
  <c r="Y31" i="1"/>
  <c r="T32" i="1"/>
  <c r="Y32" i="1"/>
  <c r="T33" i="1"/>
  <c r="Y33" i="1"/>
  <c r="Y53" i="1"/>
  <c r="J34" i="4"/>
  <c r="E34" i="4"/>
  <c r="J33" i="4"/>
  <c r="E33" i="4"/>
  <c r="J32" i="4"/>
  <c r="E32" i="4"/>
  <c r="J31" i="4"/>
  <c r="E31" i="4"/>
  <c r="J30" i="4"/>
  <c r="E30" i="4"/>
  <c r="J29" i="4"/>
  <c r="E29" i="4"/>
  <c r="D28" i="4"/>
  <c r="Y46" i="4"/>
  <c r="T46" i="4"/>
  <c r="Y45" i="4"/>
  <c r="T45" i="4"/>
  <c r="Y38" i="4"/>
  <c r="T38" i="4"/>
  <c r="Y37" i="4"/>
  <c r="T37" i="4"/>
  <c r="J54" i="4"/>
  <c r="E54" i="4"/>
  <c r="J53" i="4"/>
  <c r="E53" i="4"/>
  <c r="Y47" i="4"/>
  <c r="T47" i="4"/>
  <c r="Y42" i="4"/>
  <c r="T42" i="4"/>
  <c r="Y41" i="4"/>
  <c r="T41" i="4"/>
  <c r="Y40" i="4"/>
  <c r="T40" i="4"/>
  <c r="Y39" i="4"/>
  <c r="T39" i="4"/>
  <c r="Y34" i="4"/>
  <c r="T34" i="4"/>
  <c r="Y33" i="4"/>
  <c r="T33" i="4"/>
  <c r="Y32" i="4"/>
  <c r="T32" i="4"/>
  <c r="Y31" i="4"/>
  <c r="T31" i="4"/>
  <c r="Y26" i="4"/>
  <c r="T26" i="4"/>
  <c r="Y25" i="4"/>
  <c r="T25" i="4"/>
  <c r="Y24" i="4"/>
  <c r="T24" i="4"/>
  <c r="Y23" i="4"/>
  <c r="T23" i="4"/>
  <c r="J58" i="4"/>
  <c r="E58" i="4"/>
  <c r="J57" i="4"/>
  <c r="E57" i="4"/>
  <c r="J56" i="4"/>
  <c r="E56" i="4"/>
  <c r="J50" i="4"/>
  <c r="E50" i="4"/>
  <c r="J49" i="4"/>
  <c r="E49" i="4"/>
  <c r="J48" i="4"/>
  <c r="E48" i="4"/>
  <c r="J47" i="4"/>
  <c r="E47" i="4"/>
  <c r="J46" i="4"/>
  <c r="E46" i="4"/>
  <c r="J45" i="4"/>
  <c r="E45" i="4"/>
  <c r="J42" i="4"/>
  <c r="E42" i="4"/>
  <c r="J41" i="4"/>
  <c r="E41" i="4"/>
  <c r="J40" i="4"/>
  <c r="E40" i="4"/>
  <c r="J39" i="4"/>
  <c r="E39" i="4"/>
  <c r="Y49" i="1"/>
  <c r="T49" i="1"/>
  <c r="Y48" i="1"/>
  <c r="T48" i="1"/>
  <c r="Y47" i="1"/>
  <c r="T47" i="1"/>
  <c r="Y46" i="1"/>
  <c r="T46" i="1"/>
  <c r="Y57" i="1"/>
  <c r="T57" i="1"/>
  <c r="Y56" i="1"/>
  <c r="T56" i="1"/>
  <c r="Y55" i="1"/>
  <c r="T55" i="1"/>
  <c r="Y54" i="1"/>
  <c r="T54" i="1"/>
  <c r="Y65" i="1"/>
  <c r="T65" i="1"/>
  <c r="Y64" i="1"/>
  <c r="T64" i="1"/>
  <c r="Y63" i="1"/>
  <c r="T63" i="1"/>
  <c r="Y62" i="1"/>
  <c r="T62" i="1"/>
  <c r="Y61" i="1"/>
  <c r="T61" i="1"/>
  <c r="Y60" i="1"/>
  <c r="T60" i="1"/>
  <c r="Y37" i="1"/>
  <c r="T37" i="1"/>
  <c r="Y36" i="1"/>
  <c r="T36" i="1"/>
  <c r="Y41" i="1"/>
  <c r="T41" i="1"/>
  <c r="Y40" i="1"/>
  <c r="T40" i="1"/>
  <c r="Y38" i="1"/>
  <c r="T38" i="1"/>
  <c r="T44" i="1"/>
  <c r="Y44" i="1"/>
  <c r="T45" i="1"/>
  <c r="Y45" i="1"/>
  <c r="T52" i="1"/>
  <c r="Y52" i="1"/>
  <c r="T53" i="1"/>
  <c r="J65" i="1"/>
  <c r="E65" i="1"/>
  <c r="J63" i="1"/>
  <c r="E63" i="1"/>
  <c r="J57" i="1"/>
  <c r="E57" i="1"/>
  <c r="J55" i="1"/>
  <c r="E55" i="1"/>
  <c r="J49" i="1"/>
  <c r="E49" i="1"/>
  <c r="J47" i="1"/>
  <c r="J45" i="1"/>
  <c r="J41" i="1"/>
  <c r="J39" i="1"/>
  <c r="J37" i="1"/>
  <c r="J33" i="1"/>
  <c r="J31" i="1"/>
  <c r="J29" i="1"/>
  <c r="B9" i="42"/>
  <c r="J37" i="4"/>
  <c r="Y30" i="4"/>
  <c r="T30" i="4"/>
  <c r="Y29" i="4"/>
  <c r="T29" i="4"/>
  <c r="Y22" i="4"/>
  <c r="T22" i="4"/>
  <c r="Y21" i="4"/>
  <c r="T21" i="4"/>
  <c r="AB16" i="38"/>
  <c r="AK47" i="38"/>
  <c r="Z13" i="38"/>
  <c r="AJ28" i="38"/>
  <c r="Z11" i="38"/>
  <c r="AJ14" i="38"/>
  <c r="AT15" i="38"/>
  <c r="I12" i="38"/>
  <c r="AJ7" i="38"/>
  <c r="K12" i="38"/>
  <c r="AK7" i="38"/>
  <c r="AO7" i="38"/>
  <c r="I11" i="38"/>
  <c r="AJ9" i="38"/>
  <c r="K11" i="38"/>
  <c r="AK9" i="38"/>
  <c r="AO9" i="38"/>
  <c r="Z15" i="38"/>
  <c r="AJ46" i="38"/>
  <c r="AB15" i="38"/>
  <c r="AK46" i="38"/>
  <c r="AO46" i="38"/>
  <c r="Z16" i="38"/>
  <c r="AJ47" i="38"/>
  <c r="AO47" i="38"/>
  <c r="AB13" i="38"/>
  <c r="AK28" i="38"/>
  <c r="AO28" i="38"/>
  <c r="Z14" i="38"/>
  <c r="AJ30" i="38"/>
  <c r="AB14" i="38"/>
  <c r="AK30" i="38"/>
  <c r="AO30" i="38"/>
  <c r="I13" i="38"/>
  <c r="AJ24" i="38"/>
  <c r="K13" i="38"/>
  <c r="AK24" i="38"/>
  <c r="AO24" i="38"/>
  <c r="I14" i="38"/>
  <c r="AJ26" i="38"/>
  <c r="K14" i="38"/>
  <c r="AK26" i="38"/>
  <c r="AO26" i="38"/>
  <c r="Z12" i="38"/>
  <c r="AJ12" i="38"/>
  <c r="AB12" i="38"/>
  <c r="AK12" i="38"/>
  <c r="AO12" i="38"/>
  <c r="AB11" i="38"/>
  <c r="AK14" i="38"/>
  <c r="AO14" i="38"/>
  <c r="I15" i="38"/>
  <c r="AJ40" i="38"/>
  <c r="K15" i="38"/>
  <c r="AK40" i="38"/>
  <c r="AO40" i="38"/>
  <c r="I16" i="38"/>
  <c r="AJ41" i="38"/>
  <c r="K16" i="38"/>
  <c r="AK41" i="38"/>
  <c r="AO41" i="38"/>
  <c r="AU15" i="38"/>
  <c r="AP7" i="38"/>
  <c r="AP9" i="38"/>
  <c r="AP46" i="38"/>
  <c r="AP47" i="38"/>
  <c r="AP28" i="38"/>
  <c r="AP30" i="38"/>
  <c r="AP24" i="38"/>
  <c r="AP26" i="38"/>
  <c r="AP12" i="38"/>
  <c r="AP14" i="38"/>
  <c r="AP40" i="38"/>
  <c r="AP41" i="38"/>
  <c r="AV15" i="38"/>
  <c r="AW15" i="38"/>
  <c r="BA15" i="38"/>
  <c r="AT16" i="38"/>
  <c r="AU16" i="38"/>
  <c r="AV16" i="38"/>
  <c r="AW16" i="38"/>
  <c r="BA16" i="38"/>
  <c r="AS15" i="38"/>
  <c r="BB15" i="38"/>
  <c r="BC15" i="38"/>
  <c r="AT17" i="38"/>
  <c r="AU17" i="38"/>
  <c r="AV17" i="38"/>
  <c r="AW17" i="38"/>
  <c r="BA17" i="38"/>
  <c r="AT18" i="38"/>
  <c r="AU18" i="38"/>
  <c r="AV18" i="38"/>
  <c r="AW18" i="38"/>
  <c r="BA18" i="38"/>
  <c r="AS17" i="38"/>
  <c r="BB17" i="38"/>
  <c r="AS16" i="38"/>
  <c r="BC17" i="38"/>
  <c r="BD15" i="38"/>
  <c r="BE15" i="38"/>
  <c r="AS18" i="38"/>
  <c r="BB18" i="38"/>
  <c r="BC18" i="38"/>
  <c r="BB16" i="38"/>
  <c r="BC16" i="38"/>
  <c r="BD18" i="38"/>
  <c r="BE18" i="38"/>
  <c r="BF15" i="38"/>
  <c r="BG15" i="38"/>
  <c r="BD16" i="38"/>
  <c r="BE16" i="38"/>
  <c r="BD17" i="38"/>
  <c r="BE17" i="38"/>
  <c r="BF16" i="38"/>
  <c r="BG16" i="38"/>
  <c r="AX16" i="38"/>
  <c r="AY16" i="38"/>
  <c r="AZ16" i="38"/>
  <c r="BH16" i="38"/>
  <c r="AX15" i="38"/>
  <c r="AY15" i="38"/>
  <c r="AZ15" i="38"/>
  <c r="BH15" i="38"/>
  <c r="BI15" i="38"/>
  <c r="BJ15" i="38"/>
  <c r="BF17" i="38"/>
  <c r="BG17" i="38"/>
  <c r="BF18" i="38"/>
  <c r="BG18" i="38"/>
  <c r="AX18" i="38"/>
  <c r="AY18" i="38"/>
  <c r="AZ18" i="38"/>
  <c r="BH18" i="38"/>
  <c r="AX17" i="38"/>
  <c r="AY17" i="38"/>
  <c r="AZ17" i="38"/>
  <c r="BH17" i="38"/>
  <c r="BI17" i="38"/>
  <c r="BJ17" i="38"/>
  <c r="BK17" i="38"/>
  <c r="BK15" i="38"/>
  <c r="BL15" i="38"/>
  <c r="BM15" i="38"/>
  <c r="BI16" i="38"/>
  <c r="BJ16" i="38"/>
  <c r="BI18" i="38"/>
  <c r="BJ18" i="38"/>
  <c r="BK18" i="38"/>
  <c r="BK16" i="38"/>
  <c r="BL18" i="38"/>
  <c r="BM18" i="38"/>
  <c r="BN18" i="38"/>
  <c r="BN15" i="38"/>
  <c r="BO15" i="38"/>
  <c r="BP15" i="38"/>
  <c r="BL16" i="38"/>
  <c r="BM16" i="38"/>
  <c r="BL17" i="38"/>
  <c r="BM17" i="38"/>
  <c r="BN17" i="38"/>
  <c r="BN16" i="38"/>
  <c r="BO16" i="38"/>
  <c r="BP16" i="38"/>
  <c r="BQ15" i="38"/>
  <c r="BQ16" i="38"/>
  <c r="BR16" i="38"/>
  <c r="BR15" i="38"/>
  <c r="BS15" i="38"/>
  <c r="BT15" i="38"/>
  <c r="BO17" i="38"/>
  <c r="BP17" i="38"/>
  <c r="BO18" i="38"/>
  <c r="BP18" i="38"/>
  <c r="BQ17" i="38"/>
  <c r="BQ18" i="38"/>
  <c r="BR18" i="38"/>
  <c r="BR17" i="38"/>
  <c r="BS17" i="38"/>
  <c r="BT17" i="38"/>
  <c r="BU15" i="38"/>
  <c r="BU17" i="38"/>
  <c r="BV17" i="38"/>
  <c r="BV15" i="38"/>
  <c r="BW15" i="38"/>
  <c r="BX15" i="38"/>
  <c r="BS16" i="38"/>
  <c r="BT16" i="38"/>
  <c r="BS18" i="38"/>
  <c r="BT18" i="38"/>
  <c r="BU16" i="38"/>
  <c r="BU18" i="38"/>
  <c r="BV18" i="38"/>
  <c r="BV16" i="38"/>
  <c r="BW18" i="38"/>
  <c r="BX18" i="38"/>
  <c r="BY15" i="38"/>
  <c r="BY18" i="38"/>
  <c r="BZ18" i="38"/>
  <c r="BZ15" i="38"/>
  <c r="CA18" i="38"/>
  <c r="CH18" i="38"/>
  <c r="CI18" i="38"/>
  <c r="X8" i="38"/>
  <c r="AB17" i="4"/>
  <c r="AT8" i="38"/>
  <c r="AU8" i="38"/>
  <c r="AV8" i="38"/>
  <c r="AW8" i="38"/>
  <c r="BA8" i="38"/>
  <c r="AT9" i="38"/>
  <c r="AU9" i="38"/>
  <c r="AV9" i="38"/>
  <c r="AW9" i="38"/>
  <c r="BA9" i="38"/>
  <c r="AS8" i="38"/>
  <c r="BB8" i="38"/>
  <c r="BC8" i="38"/>
  <c r="AT10" i="38"/>
  <c r="AU10" i="38"/>
  <c r="AV10" i="38"/>
  <c r="AW10" i="38"/>
  <c r="BA10" i="38"/>
  <c r="AT11" i="38"/>
  <c r="AU11" i="38"/>
  <c r="AV11" i="38"/>
  <c r="AW11" i="38"/>
  <c r="BA11" i="38"/>
  <c r="AS10" i="38"/>
  <c r="BB10" i="38"/>
  <c r="AS9" i="38"/>
  <c r="BC10" i="38"/>
  <c r="BD8" i="38"/>
  <c r="BE8" i="38"/>
  <c r="AS11" i="38"/>
  <c r="BB11" i="38"/>
  <c r="BC11" i="38"/>
  <c r="BB9" i="38"/>
  <c r="BC9" i="38"/>
  <c r="BD11" i="38"/>
  <c r="BE11" i="38"/>
  <c r="BF8" i="38"/>
  <c r="BG8" i="38"/>
  <c r="BD9" i="38"/>
  <c r="BE9" i="38"/>
  <c r="BD10" i="38"/>
  <c r="BE10" i="38"/>
  <c r="BF9" i="38"/>
  <c r="BG9" i="38"/>
  <c r="AX9" i="38"/>
  <c r="AY9" i="38"/>
  <c r="AZ9" i="38"/>
  <c r="BH9" i="38"/>
  <c r="AX8" i="38"/>
  <c r="AY8" i="38"/>
  <c r="AZ8" i="38"/>
  <c r="BH8" i="38"/>
  <c r="BI8" i="38"/>
  <c r="BJ8" i="38"/>
  <c r="BF10" i="38"/>
  <c r="BG10" i="38"/>
  <c r="BF11" i="38"/>
  <c r="BG11" i="38"/>
  <c r="AX11" i="38"/>
  <c r="AY11" i="38"/>
  <c r="AZ11" i="38"/>
  <c r="BH11" i="38"/>
  <c r="AX10" i="38"/>
  <c r="AY10" i="38"/>
  <c r="AZ10" i="38"/>
  <c r="BH10" i="38"/>
  <c r="BI10" i="38"/>
  <c r="BJ10" i="38"/>
  <c r="BK10" i="38"/>
  <c r="BK8" i="38"/>
  <c r="BL8" i="38"/>
  <c r="BM8" i="38"/>
  <c r="BI9" i="38"/>
  <c r="BJ9" i="38"/>
  <c r="BI11" i="38"/>
  <c r="BJ11" i="38"/>
  <c r="BK11" i="38"/>
  <c r="BK9" i="38"/>
  <c r="BL11" i="38"/>
  <c r="BM11" i="38"/>
  <c r="BN11" i="38"/>
  <c r="BN8" i="38"/>
  <c r="BO8" i="38"/>
  <c r="BP8" i="38"/>
  <c r="BL9" i="38"/>
  <c r="BM9" i="38"/>
  <c r="BL10" i="38"/>
  <c r="BM10" i="38"/>
  <c r="BN10" i="38"/>
  <c r="BN9" i="38"/>
  <c r="BO9" i="38"/>
  <c r="BP9" i="38"/>
  <c r="BQ8" i="38"/>
  <c r="BQ9" i="38"/>
  <c r="BR9" i="38"/>
  <c r="BR8" i="38"/>
  <c r="BS8" i="38"/>
  <c r="BT8" i="38"/>
  <c r="BO10" i="38"/>
  <c r="BP10" i="38"/>
  <c r="BO11" i="38"/>
  <c r="BP11" i="38"/>
  <c r="BQ10" i="38"/>
  <c r="BQ11" i="38"/>
  <c r="BR11" i="38"/>
  <c r="BR10" i="38"/>
  <c r="BS10" i="38"/>
  <c r="BT10" i="38"/>
  <c r="BU8" i="38"/>
  <c r="BU10" i="38"/>
  <c r="BV10" i="38"/>
  <c r="BV8" i="38"/>
  <c r="BW8" i="38"/>
  <c r="BX8" i="38"/>
  <c r="BS9" i="38"/>
  <c r="BT9" i="38"/>
  <c r="BS11" i="38"/>
  <c r="BT11" i="38"/>
  <c r="BU9" i="38"/>
  <c r="BU11" i="38"/>
  <c r="BV11" i="38"/>
  <c r="BV9" i="38"/>
  <c r="BW11" i="38"/>
  <c r="BX11" i="38"/>
  <c r="BY8" i="38"/>
  <c r="BY11" i="38"/>
  <c r="BZ11" i="38"/>
  <c r="BZ8" i="38"/>
  <c r="CA11" i="38"/>
  <c r="CH11" i="38"/>
  <c r="CI11" i="38"/>
  <c r="G8" i="38"/>
  <c r="AB16" i="4"/>
  <c r="J38" i="4"/>
  <c r="E38" i="4"/>
  <c r="E37" i="4"/>
  <c r="D36" i="4"/>
  <c r="I12" i="27"/>
  <c r="AJ7" i="27"/>
  <c r="K12" i="27"/>
  <c r="AK7" i="27"/>
  <c r="AO7" i="27"/>
  <c r="I44" i="27"/>
  <c r="AJ8" i="27"/>
  <c r="K44" i="27"/>
  <c r="AK8" i="27"/>
  <c r="AO8" i="27"/>
  <c r="I11" i="27"/>
  <c r="AJ9" i="27"/>
  <c r="K11" i="27"/>
  <c r="AK9" i="27"/>
  <c r="AO9" i="27"/>
  <c r="I43" i="27"/>
  <c r="AJ10" i="27"/>
  <c r="K43" i="27"/>
  <c r="AK10" i="27"/>
  <c r="AO10" i="27"/>
  <c r="Z44" i="27"/>
  <c r="AJ11" i="27"/>
  <c r="AB44" i="27"/>
  <c r="AK11" i="27"/>
  <c r="AO11" i="27"/>
  <c r="Z12" i="27"/>
  <c r="AJ12" i="27"/>
  <c r="AB12" i="27"/>
  <c r="AK12" i="27"/>
  <c r="AO12" i="27"/>
  <c r="Z43" i="27"/>
  <c r="AJ13" i="27"/>
  <c r="AB43" i="27"/>
  <c r="AK13" i="27"/>
  <c r="AO13" i="27"/>
  <c r="Z11" i="27"/>
  <c r="AJ14" i="27"/>
  <c r="AB11" i="27"/>
  <c r="AK14" i="27"/>
  <c r="AO14" i="27"/>
  <c r="I59" i="27"/>
  <c r="AJ15" i="27"/>
  <c r="K59" i="27"/>
  <c r="AK15" i="27"/>
  <c r="AO15" i="27"/>
  <c r="I26" i="27"/>
  <c r="AJ16" i="27"/>
  <c r="K26" i="27"/>
  <c r="AK16" i="27"/>
  <c r="AO16" i="27"/>
  <c r="I58" i="27"/>
  <c r="AJ17" i="27"/>
  <c r="K58" i="27"/>
  <c r="AK17" i="27"/>
  <c r="AO17" i="27"/>
  <c r="I27" i="27"/>
  <c r="AJ18" i="27"/>
  <c r="K27" i="27"/>
  <c r="AK18" i="27"/>
  <c r="AO18" i="27"/>
  <c r="Z58" i="27"/>
  <c r="AJ19" i="27"/>
  <c r="AB58" i="27"/>
  <c r="AK19" i="27"/>
  <c r="AO19" i="27"/>
  <c r="Z26" i="27"/>
  <c r="AJ20" i="27"/>
  <c r="AB26" i="27"/>
  <c r="AK20" i="27"/>
  <c r="AO20" i="27"/>
  <c r="Z59" i="27"/>
  <c r="AJ21" i="27"/>
  <c r="AB59" i="27"/>
  <c r="AK21" i="27"/>
  <c r="AO21" i="27"/>
  <c r="Z27" i="27"/>
  <c r="AJ22" i="27"/>
  <c r="AB27" i="27"/>
  <c r="AK22" i="27"/>
  <c r="AO22" i="27"/>
  <c r="I45" i="27"/>
  <c r="AJ23" i="27"/>
  <c r="K45" i="27"/>
  <c r="AK23" i="27"/>
  <c r="AO23" i="27"/>
  <c r="I13" i="27"/>
  <c r="AJ24" i="27"/>
  <c r="K13" i="27"/>
  <c r="AK24" i="27"/>
  <c r="AO24" i="27"/>
  <c r="I46" i="27"/>
  <c r="AJ25" i="27"/>
  <c r="K46" i="27"/>
  <c r="AK25" i="27"/>
  <c r="AO25" i="27"/>
  <c r="I14" i="27"/>
  <c r="AJ26" i="27"/>
  <c r="K14" i="27"/>
  <c r="AK26" i="27"/>
  <c r="AO26" i="27"/>
  <c r="Z46" i="27"/>
  <c r="AJ27" i="27"/>
  <c r="AB46" i="27"/>
  <c r="AK27" i="27"/>
  <c r="AO27" i="27"/>
  <c r="Z13" i="27"/>
  <c r="AJ28" i="27"/>
  <c r="AB13" i="27"/>
  <c r="AK28" i="27"/>
  <c r="AO28" i="27"/>
  <c r="Z45" i="27"/>
  <c r="AJ29" i="27"/>
  <c r="AB45" i="27"/>
  <c r="AK29" i="27"/>
  <c r="AO29" i="27"/>
  <c r="Z14" i="27"/>
  <c r="AJ30" i="27"/>
  <c r="AB14" i="27"/>
  <c r="AK30" i="27"/>
  <c r="AO30" i="27"/>
  <c r="I60" i="27"/>
  <c r="AJ31" i="27"/>
  <c r="K60" i="27"/>
  <c r="AK31" i="27"/>
  <c r="AO31" i="27"/>
  <c r="I28" i="27"/>
  <c r="AJ34" i="27"/>
  <c r="K28" i="27"/>
  <c r="AK34" i="27"/>
  <c r="AO34" i="27"/>
  <c r="I61" i="27"/>
  <c r="AJ35" i="27"/>
  <c r="K61" i="27"/>
  <c r="AK35" i="27"/>
  <c r="AO35" i="27"/>
  <c r="I29" i="27"/>
  <c r="AJ36" i="27"/>
  <c r="K29" i="27"/>
  <c r="AK36" i="27"/>
  <c r="AO36" i="27"/>
  <c r="Z60" i="27"/>
  <c r="AJ37" i="27"/>
  <c r="AB60" i="27"/>
  <c r="AK37" i="27"/>
  <c r="AO37" i="27"/>
  <c r="Z28" i="27"/>
  <c r="AJ38" i="27"/>
  <c r="AB28" i="27"/>
  <c r="AK38" i="27"/>
  <c r="AO38" i="27"/>
  <c r="Z61" i="27"/>
  <c r="AJ39" i="27"/>
  <c r="AB61" i="27"/>
  <c r="AK39" i="27"/>
  <c r="AO39" i="27"/>
  <c r="Z29" i="27"/>
  <c r="AJ40" i="27"/>
  <c r="AB29" i="27"/>
  <c r="AK40" i="27"/>
  <c r="AO40" i="27"/>
  <c r="I15" i="27"/>
  <c r="AJ41" i="27"/>
  <c r="K15" i="27"/>
  <c r="AK41" i="27"/>
  <c r="AO41" i="27"/>
  <c r="I16" i="27"/>
  <c r="AJ42" i="27"/>
  <c r="K16" i="27"/>
  <c r="AK42" i="27"/>
  <c r="AO42" i="27"/>
  <c r="I47" i="27"/>
  <c r="AJ43" i="27"/>
  <c r="K47" i="27"/>
  <c r="AK43" i="27"/>
  <c r="AO43" i="27"/>
  <c r="I48" i="27"/>
  <c r="AJ44" i="27"/>
  <c r="K48" i="27"/>
  <c r="AK44" i="27"/>
  <c r="AO44" i="27"/>
  <c r="Z47" i="27"/>
  <c r="AJ45" i="27"/>
  <c r="AB47" i="27"/>
  <c r="AK45" i="27"/>
  <c r="AO45" i="27"/>
  <c r="Z48" i="27"/>
  <c r="AJ46" i="27"/>
  <c r="AB48" i="27"/>
  <c r="AK46" i="27"/>
  <c r="AO46" i="27"/>
  <c r="Z15" i="27"/>
  <c r="AJ47" i="27"/>
  <c r="AB15" i="27"/>
  <c r="AK47" i="27"/>
  <c r="AO47" i="27"/>
  <c r="Z16" i="27"/>
  <c r="AJ48" i="27"/>
  <c r="AB16" i="27"/>
  <c r="AK48" i="27"/>
  <c r="AO48" i="27"/>
  <c r="I30" i="27"/>
  <c r="AJ49" i="27"/>
  <c r="K30" i="27"/>
  <c r="AK49" i="27"/>
  <c r="AO49" i="27"/>
  <c r="I31" i="27"/>
  <c r="AJ50" i="27"/>
  <c r="K31" i="27"/>
  <c r="AK50" i="27"/>
  <c r="AO50" i="27"/>
  <c r="I62" i="27"/>
  <c r="AJ51" i="27"/>
  <c r="K62" i="27"/>
  <c r="AK51" i="27"/>
  <c r="AO51" i="27"/>
  <c r="I63" i="27"/>
  <c r="AJ52" i="27"/>
  <c r="K63" i="27"/>
  <c r="AK52" i="27"/>
  <c r="AO52" i="27"/>
  <c r="Z62" i="27"/>
  <c r="AJ53" i="27"/>
  <c r="AB62" i="27"/>
  <c r="AK53" i="27"/>
  <c r="AO53" i="27"/>
  <c r="Z63" i="27"/>
  <c r="AJ54" i="27"/>
  <c r="AB63" i="27"/>
  <c r="AK54" i="27"/>
  <c r="AO54" i="27"/>
  <c r="Z30" i="27"/>
  <c r="AJ55" i="27"/>
  <c r="AB30" i="27"/>
  <c r="AK55" i="27"/>
  <c r="AO55" i="27"/>
  <c r="Z31" i="27"/>
  <c r="AJ56" i="27"/>
  <c r="AB31" i="27"/>
  <c r="AK56" i="27"/>
  <c r="AO56" i="27"/>
  <c r="AU40" i="27"/>
  <c r="AT40" i="27"/>
  <c r="AP7" i="27"/>
  <c r="AP8" i="27"/>
  <c r="AP9" i="27"/>
  <c r="AP10" i="27"/>
  <c r="AP11" i="27"/>
  <c r="AP12" i="27"/>
  <c r="AP13" i="27"/>
  <c r="AP14" i="27"/>
  <c r="AP15" i="27"/>
  <c r="AP16" i="27"/>
  <c r="AP17" i="27"/>
  <c r="AP18" i="27"/>
  <c r="AP19" i="27"/>
  <c r="AP20" i="27"/>
  <c r="AP21" i="27"/>
  <c r="AP22" i="27"/>
  <c r="AP23" i="27"/>
  <c r="AP24" i="27"/>
  <c r="AP25" i="27"/>
  <c r="AP26" i="27"/>
  <c r="AP27" i="27"/>
  <c r="AP28" i="27"/>
  <c r="AP29" i="27"/>
  <c r="AP30" i="27"/>
  <c r="AP31" i="27"/>
  <c r="AP34" i="27"/>
  <c r="AP35" i="27"/>
  <c r="AP36" i="27"/>
  <c r="AP37" i="27"/>
  <c r="AP38" i="27"/>
  <c r="AP39" i="27"/>
  <c r="AP40" i="27"/>
  <c r="AP41" i="27"/>
  <c r="AP42" i="27"/>
  <c r="AP43" i="27"/>
  <c r="AP44" i="27"/>
  <c r="AP45" i="27"/>
  <c r="AP46" i="27"/>
  <c r="AP47" i="27"/>
  <c r="AP48" i="27"/>
  <c r="AP49" i="27"/>
  <c r="AP50" i="27"/>
  <c r="AP51" i="27"/>
  <c r="AP52" i="27"/>
  <c r="AP53" i="27"/>
  <c r="AP54" i="27"/>
  <c r="AP55" i="27"/>
  <c r="AP56" i="27"/>
  <c r="AV40" i="27"/>
  <c r="AW40" i="27"/>
  <c r="BA40" i="27"/>
  <c r="AU41" i="27"/>
  <c r="AT41" i="27"/>
  <c r="AV41" i="27"/>
  <c r="AW41" i="27"/>
  <c r="BA41" i="27"/>
  <c r="AS40" i="27"/>
  <c r="AS41" i="27"/>
  <c r="BB40" i="27"/>
  <c r="BC40" i="27"/>
  <c r="AU42" i="27"/>
  <c r="AT42" i="27"/>
  <c r="AV42" i="27"/>
  <c r="AW42" i="27"/>
  <c r="BA42" i="27"/>
  <c r="AU43" i="27"/>
  <c r="AT43" i="27"/>
  <c r="AV43" i="27"/>
  <c r="AW43" i="27"/>
  <c r="BA43" i="27"/>
  <c r="AS42" i="27"/>
  <c r="AS43" i="27"/>
  <c r="BB42" i="27"/>
  <c r="BC42" i="27"/>
  <c r="BD40" i="27"/>
  <c r="BE40" i="27"/>
  <c r="BB43" i="27"/>
  <c r="BC43" i="27"/>
  <c r="BB41" i="27"/>
  <c r="BC41" i="27"/>
  <c r="BD43" i="27"/>
  <c r="BE43" i="27"/>
  <c r="BF40" i="27"/>
  <c r="BG40" i="27"/>
  <c r="BD41" i="27"/>
  <c r="BE41" i="27"/>
  <c r="BD42" i="27"/>
  <c r="BE42" i="27"/>
  <c r="BF41" i="27"/>
  <c r="BG41" i="27"/>
  <c r="AX41" i="27"/>
  <c r="AY41" i="27"/>
  <c r="AZ41" i="27"/>
  <c r="AX43" i="27"/>
  <c r="AY43" i="27"/>
  <c r="AZ43" i="27"/>
  <c r="AX40" i="27"/>
  <c r="AY40" i="27"/>
  <c r="AZ40" i="27"/>
  <c r="AY42" i="27"/>
  <c r="AX42" i="27"/>
  <c r="AZ42" i="27"/>
  <c r="BH41" i="27"/>
  <c r="BH40" i="27"/>
  <c r="BI40" i="27"/>
  <c r="BJ40" i="27"/>
  <c r="BF42" i="27"/>
  <c r="BG42" i="27"/>
  <c r="BF43" i="27"/>
  <c r="BG43" i="27"/>
  <c r="BH43" i="27"/>
  <c r="BH42" i="27"/>
  <c r="BI42" i="27"/>
  <c r="BJ42" i="27"/>
  <c r="BK42" i="27"/>
  <c r="BK40" i="27"/>
  <c r="BL40" i="27"/>
  <c r="BM40" i="27"/>
  <c r="BI41" i="27"/>
  <c r="BJ41" i="27"/>
  <c r="BI43" i="27"/>
  <c r="BJ43" i="27"/>
  <c r="BK43" i="27"/>
  <c r="BK41" i="27"/>
  <c r="BL43" i="27"/>
  <c r="BM43" i="27"/>
  <c r="BN43" i="27"/>
  <c r="BN40" i="27"/>
  <c r="BO40" i="27"/>
  <c r="BP40" i="27"/>
  <c r="BL41" i="27"/>
  <c r="BM41" i="27"/>
  <c r="BL42" i="27"/>
  <c r="BM42" i="27"/>
  <c r="BN42" i="27"/>
  <c r="BN41" i="27"/>
  <c r="BO41" i="27"/>
  <c r="BP41" i="27"/>
  <c r="BQ40" i="27"/>
  <c r="BQ41" i="27"/>
  <c r="BR41" i="27"/>
  <c r="BR40" i="27"/>
  <c r="BS41" i="27"/>
  <c r="BT41" i="27"/>
  <c r="BO42" i="27"/>
  <c r="BP42" i="27"/>
  <c r="BO43" i="27"/>
  <c r="BP43" i="27"/>
  <c r="BQ42" i="27"/>
  <c r="BQ43" i="27"/>
  <c r="BR43" i="27"/>
  <c r="BR42" i="27"/>
  <c r="BS43" i="27"/>
  <c r="BT43" i="27"/>
  <c r="BU41" i="27"/>
  <c r="BU43" i="27"/>
  <c r="BV43" i="27"/>
  <c r="BV41" i="27"/>
  <c r="BW41" i="27"/>
  <c r="BX41" i="27"/>
  <c r="BS40" i="27"/>
  <c r="BT40" i="27"/>
  <c r="BS42" i="27"/>
  <c r="BT42" i="27"/>
  <c r="BU40" i="27"/>
  <c r="BU42" i="27"/>
  <c r="BV40" i="27"/>
  <c r="BW42" i="27"/>
  <c r="BX42" i="27"/>
  <c r="BY41" i="27"/>
  <c r="BY42" i="27"/>
  <c r="BZ42" i="27"/>
  <c r="BZ41" i="27"/>
  <c r="CA41" i="27"/>
  <c r="CH41" i="27"/>
  <c r="CI41" i="27"/>
  <c r="G38" i="27"/>
  <c r="C38" i="27"/>
  <c r="D16" i="4"/>
  <c r="AU54" i="27"/>
  <c r="AT54" i="27"/>
  <c r="AV54" i="27"/>
  <c r="AW54" i="27"/>
  <c r="BA54" i="27"/>
  <c r="AU55" i="27"/>
  <c r="AT55" i="27"/>
  <c r="AV55" i="27"/>
  <c r="AW55" i="27"/>
  <c r="BA55" i="27"/>
  <c r="AS54" i="27"/>
  <c r="BB54" i="27"/>
  <c r="BC54" i="27"/>
  <c r="AU56" i="27"/>
  <c r="AT56" i="27"/>
  <c r="AV56" i="27"/>
  <c r="AW56" i="27"/>
  <c r="BA56" i="27"/>
  <c r="AU57" i="27"/>
  <c r="AT57" i="27"/>
  <c r="AV57" i="27"/>
  <c r="AW57" i="27"/>
  <c r="BA57" i="27"/>
  <c r="AS56" i="27"/>
  <c r="BB56" i="27"/>
  <c r="AS55" i="27"/>
  <c r="BC56" i="27"/>
  <c r="BD54" i="27"/>
  <c r="BE54" i="27"/>
  <c r="AS57" i="27"/>
  <c r="BB57" i="27"/>
  <c r="BC57" i="27"/>
  <c r="BB55" i="27"/>
  <c r="BC55" i="27"/>
  <c r="BD57" i="27"/>
  <c r="BE57" i="27"/>
  <c r="BF54" i="27"/>
  <c r="BG54" i="27"/>
  <c r="BD55" i="27"/>
  <c r="BE55" i="27"/>
  <c r="BD56" i="27"/>
  <c r="BE56" i="27"/>
  <c r="BF55" i="27"/>
  <c r="BG55" i="27"/>
  <c r="AX55" i="27"/>
  <c r="AY55" i="27"/>
  <c r="AZ55" i="27"/>
  <c r="AX54" i="27"/>
  <c r="AY54" i="27"/>
  <c r="AZ54" i="27"/>
  <c r="AY57" i="27"/>
  <c r="AX57" i="27"/>
  <c r="AZ57" i="27"/>
  <c r="BH55" i="27"/>
  <c r="BH54" i="27"/>
  <c r="BI54" i="27"/>
  <c r="BJ54" i="27"/>
  <c r="BF56" i="27"/>
  <c r="BG56" i="27"/>
  <c r="BF57" i="27"/>
  <c r="BG57" i="27"/>
  <c r="AX56" i="27"/>
  <c r="AY56" i="27"/>
  <c r="AZ56" i="27"/>
  <c r="BH57" i="27"/>
  <c r="BH56" i="27"/>
  <c r="BI56" i="27"/>
  <c r="BJ56" i="27"/>
  <c r="BK56" i="27"/>
  <c r="BK54" i="27"/>
  <c r="BL54" i="27"/>
  <c r="BM54" i="27"/>
  <c r="BI55" i="27"/>
  <c r="BJ55" i="27"/>
  <c r="BI57" i="27"/>
  <c r="BJ57" i="27"/>
  <c r="BK57" i="27"/>
  <c r="BK55" i="27"/>
  <c r="BL57" i="27"/>
  <c r="BM57" i="27"/>
  <c r="BN57" i="27"/>
  <c r="BN54" i="27"/>
  <c r="BO54" i="27"/>
  <c r="BP54" i="27"/>
  <c r="BL55" i="27"/>
  <c r="BM55" i="27"/>
  <c r="BL56" i="27"/>
  <c r="BM56" i="27"/>
  <c r="BN56" i="27"/>
  <c r="BN55" i="27"/>
  <c r="BO55" i="27"/>
  <c r="BP55" i="27"/>
  <c r="BQ54" i="27"/>
  <c r="BQ55" i="27"/>
  <c r="BR55" i="27"/>
  <c r="BR54" i="27"/>
  <c r="BS54" i="27"/>
  <c r="BT54" i="27"/>
  <c r="BO56" i="27"/>
  <c r="BP56" i="27"/>
  <c r="BO57" i="27"/>
  <c r="BP57" i="27"/>
  <c r="BQ56" i="27"/>
  <c r="BQ57" i="27"/>
  <c r="BR57" i="27"/>
  <c r="BR56" i="27"/>
  <c r="BS56" i="27"/>
  <c r="BT56" i="27"/>
  <c r="BU54" i="27"/>
  <c r="BU56" i="27"/>
  <c r="BV56" i="27"/>
  <c r="BV54" i="27"/>
  <c r="BW54" i="27"/>
  <c r="BX54" i="27"/>
  <c r="BS55" i="27"/>
  <c r="BT55" i="27"/>
  <c r="BS57" i="27"/>
  <c r="BT57" i="27"/>
  <c r="BU55" i="27"/>
  <c r="BU57" i="27"/>
  <c r="BV57" i="27"/>
  <c r="BV55" i="27"/>
  <c r="BW57" i="27"/>
  <c r="BX57" i="27"/>
  <c r="BY54" i="27"/>
  <c r="BY57" i="27"/>
  <c r="BZ57" i="27"/>
  <c r="BZ54" i="27"/>
  <c r="CA54" i="27"/>
  <c r="CH54" i="27"/>
  <c r="CI54" i="27"/>
  <c r="G52" i="27"/>
  <c r="D15" i="4"/>
  <c r="AU15" i="27"/>
  <c r="AT15" i="27"/>
  <c r="AV15" i="27"/>
  <c r="AW15" i="27"/>
  <c r="BA15" i="27"/>
  <c r="AU16" i="27"/>
  <c r="AT16" i="27"/>
  <c r="AV16" i="27"/>
  <c r="AW16" i="27"/>
  <c r="BA16" i="27"/>
  <c r="AS15" i="27"/>
  <c r="BB15" i="27"/>
  <c r="BC15" i="27"/>
  <c r="AU17" i="27"/>
  <c r="AT17" i="27"/>
  <c r="AV17" i="27"/>
  <c r="AW17" i="27"/>
  <c r="BA17" i="27"/>
  <c r="AU18" i="27"/>
  <c r="AT18" i="27"/>
  <c r="AV18" i="27"/>
  <c r="AW18" i="27"/>
  <c r="BA18" i="27"/>
  <c r="AS17" i="27"/>
  <c r="BB17" i="27"/>
  <c r="AS16" i="27"/>
  <c r="BC17" i="27"/>
  <c r="BD15" i="27"/>
  <c r="BE15" i="27"/>
  <c r="AS18" i="27"/>
  <c r="BB18" i="27"/>
  <c r="BC18" i="27"/>
  <c r="BB16" i="27"/>
  <c r="BC16" i="27"/>
  <c r="BD18" i="27"/>
  <c r="BE18" i="27"/>
  <c r="BF15" i="27"/>
  <c r="BG15" i="27"/>
  <c r="BD16" i="27"/>
  <c r="BE16" i="27"/>
  <c r="BD17" i="27"/>
  <c r="BE17" i="27"/>
  <c r="BF16" i="27"/>
  <c r="BG16" i="27"/>
  <c r="AX16" i="27"/>
  <c r="AY16" i="27"/>
  <c r="AZ16" i="27"/>
  <c r="AX15" i="27"/>
  <c r="AY15" i="27"/>
  <c r="AZ15" i="27"/>
  <c r="AY18" i="27"/>
  <c r="AX18" i="27"/>
  <c r="AZ18" i="27"/>
  <c r="AY17" i="27"/>
  <c r="AX17" i="27"/>
  <c r="AZ17" i="27"/>
  <c r="BH16" i="27"/>
  <c r="BH15" i="27"/>
  <c r="BI15" i="27"/>
  <c r="BJ15" i="27"/>
  <c r="BF17" i="27"/>
  <c r="BG17" i="27"/>
  <c r="BF18" i="27"/>
  <c r="BG18" i="27"/>
  <c r="BH18" i="27"/>
  <c r="BH17" i="27"/>
  <c r="BI17" i="27"/>
  <c r="BJ17" i="27"/>
  <c r="BK17" i="27"/>
  <c r="BK15" i="27"/>
  <c r="BL15" i="27"/>
  <c r="BM15" i="27"/>
  <c r="BI16" i="27"/>
  <c r="BJ16" i="27"/>
  <c r="BI18" i="27"/>
  <c r="BJ18" i="27"/>
  <c r="BK18" i="27"/>
  <c r="BK16" i="27"/>
  <c r="BL18" i="27"/>
  <c r="BM18" i="27"/>
  <c r="BN18" i="27"/>
  <c r="BN15" i="27"/>
  <c r="BO15" i="27"/>
  <c r="BP15" i="27"/>
  <c r="BL16" i="27"/>
  <c r="BM16" i="27"/>
  <c r="BL17" i="27"/>
  <c r="BM17" i="27"/>
  <c r="BN17" i="27"/>
  <c r="BN16" i="27"/>
  <c r="BO16" i="27"/>
  <c r="BP16" i="27"/>
  <c r="BQ15" i="27"/>
  <c r="BQ16" i="27"/>
  <c r="BR16" i="27"/>
  <c r="BR15" i="27"/>
  <c r="BS16" i="27"/>
  <c r="BT16" i="27"/>
  <c r="BO17" i="27"/>
  <c r="BP17" i="27"/>
  <c r="BO18" i="27"/>
  <c r="BP18" i="27"/>
  <c r="BQ17" i="27"/>
  <c r="BQ18" i="27"/>
  <c r="BR18" i="27"/>
  <c r="BR17" i="27"/>
  <c r="BS18" i="27"/>
  <c r="BT18" i="27"/>
  <c r="BU16" i="27"/>
  <c r="BU18" i="27"/>
  <c r="BV18" i="27"/>
  <c r="BV16" i="27"/>
  <c r="BW16" i="27"/>
  <c r="BX16" i="27"/>
  <c r="BS15" i="27"/>
  <c r="BT15" i="27"/>
  <c r="BS17" i="27"/>
  <c r="BT17" i="27"/>
  <c r="BU15" i="27"/>
  <c r="BU17" i="27"/>
  <c r="BV15" i="27"/>
  <c r="BW17" i="27"/>
  <c r="BX17" i="27"/>
  <c r="BY16" i="27"/>
  <c r="BY17" i="27"/>
  <c r="BZ17" i="27"/>
  <c r="BZ16" i="27"/>
  <c r="CA16" i="27"/>
  <c r="CH16" i="27"/>
  <c r="CI16" i="27"/>
  <c r="X6" i="27"/>
  <c r="P16" i="4"/>
  <c r="AU8" i="27"/>
  <c r="AT8" i="27"/>
  <c r="AV8" i="27"/>
  <c r="AW8" i="27"/>
  <c r="BA8" i="27"/>
  <c r="AU9" i="27"/>
  <c r="AT9" i="27"/>
  <c r="AV9" i="27"/>
  <c r="AW9" i="27"/>
  <c r="BA9" i="27"/>
  <c r="AS8" i="27"/>
  <c r="BB8" i="27"/>
  <c r="BC8" i="27"/>
  <c r="AU10" i="27"/>
  <c r="AT10" i="27"/>
  <c r="AV10" i="27"/>
  <c r="AW10" i="27"/>
  <c r="BA10" i="27"/>
  <c r="AU11" i="27"/>
  <c r="AT11" i="27"/>
  <c r="AV11" i="27"/>
  <c r="AW11" i="27"/>
  <c r="BA11" i="27"/>
  <c r="AS10" i="27"/>
  <c r="BB10" i="27"/>
  <c r="AS9" i="27"/>
  <c r="BC10" i="27"/>
  <c r="BD8" i="27"/>
  <c r="BE8" i="27"/>
  <c r="AS11" i="27"/>
  <c r="BB11" i="27"/>
  <c r="BC11" i="27"/>
  <c r="BB9" i="27"/>
  <c r="BC9" i="27"/>
  <c r="BD11" i="27"/>
  <c r="BE11" i="27"/>
  <c r="BF8" i="27"/>
  <c r="BG8" i="27"/>
  <c r="BD9" i="27"/>
  <c r="BE9" i="27"/>
  <c r="BD10" i="27"/>
  <c r="BE10" i="27"/>
  <c r="BF9" i="27"/>
  <c r="BG9" i="27"/>
  <c r="AX9" i="27"/>
  <c r="AY9" i="27"/>
  <c r="AZ9" i="27"/>
  <c r="AX8" i="27"/>
  <c r="AY8" i="27"/>
  <c r="AZ8" i="27"/>
  <c r="AY11" i="27"/>
  <c r="AX11" i="27"/>
  <c r="AZ11" i="27"/>
  <c r="AY10" i="27"/>
  <c r="AX10" i="27"/>
  <c r="AZ10" i="27"/>
  <c r="BH9" i="27"/>
  <c r="BH8" i="27"/>
  <c r="BI8" i="27"/>
  <c r="BJ8" i="27"/>
  <c r="BF10" i="27"/>
  <c r="BG10" i="27"/>
  <c r="BF11" i="27"/>
  <c r="BG11" i="27"/>
  <c r="BH11" i="27"/>
  <c r="BH10" i="27"/>
  <c r="BI10" i="27"/>
  <c r="BJ10" i="27"/>
  <c r="BK10" i="27"/>
  <c r="BK8" i="27"/>
  <c r="BL8" i="27"/>
  <c r="BM8" i="27"/>
  <c r="BI9" i="27"/>
  <c r="BJ9" i="27"/>
  <c r="BI11" i="27"/>
  <c r="BJ11" i="27"/>
  <c r="BK11" i="27"/>
  <c r="BK9" i="27"/>
  <c r="BL11" i="27"/>
  <c r="BM11" i="27"/>
  <c r="BN11" i="27"/>
  <c r="BN8" i="27"/>
  <c r="BO8" i="27"/>
  <c r="BP8" i="27"/>
  <c r="BL9" i="27"/>
  <c r="BM9" i="27"/>
  <c r="BL10" i="27"/>
  <c r="BM10" i="27"/>
  <c r="BN10" i="27"/>
  <c r="BN9" i="27"/>
  <c r="BO9" i="27"/>
  <c r="BP9" i="27"/>
  <c r="BQ8" i="27"/>
  <c r="BQ9" i="27"/>
  <c r="BR9" i="27"/>
  <c r="BR8" i="27"/>
  <c r="BS9" i="27"/>
  <c r="BT9" i="27"/>
  <c r="BO10" i="27"/>
  <c r="BP10" i="27"/>
  <c r="BO11" i="27"/>
  <c r="BP11" i="27"/>
  <c r="BQ10" i="27"/>
  <c r="BQ11" i="27"/>
  <c r="BR11" i="27"/>
  <c r="BR10" i="27"/>
  <c r="BS11" i="27"/>
  <c r="BT11" i="27"/>
  <c r="BU9" i="27"/>
  <c r="BU11" i="27"/>
  <c r="BV11" i="27"/>
  <c r="BV9" i="27"/>
  <c r="BW9" i="27"/>
  <c r="BX9" i="27"/>
  <c r="BS8" i="27"/>
  <c r="BT8" i="27"/>
  <c r="BS10" i="27"/>
  <c r="BT10" i="27"/>
  <c r="BU8" i="27"/>
  <c r="BU10" i="27"/>
  <c r="BV8" i="27"/>
  <c r="BW10" i="27"/>
  <c r="BX10" i="27"/>
  <c r="BY9" i="27"/>
  <c r="BY10" i="27"/>
  <c r="BZ10" i="27"/>
  <c r="BZ9" i="27"/>
  <c r="CA9" i="27"/>
  <c r="CH9" i="27"/>
  <c r="CI9" i="27"/>
  <c r="G6" i="27"/>
  <c r="C6" i="27"/>
  <c r="P15" i="4"/>
  <c r="CA15" i="38"/>
  <c r="CH15" i="38"/>
  <c r="CI15" i="38"/>
  <c r="X5" i="38"/>
  <c r="P14" i="4"/>
  <c r="AU29" i="27"/>
  <c r="AT29" i="27"/>
  <c r="AV29" i="27"/>
  <c r="AW29" i="27"/>
  <c r="BA29" i="27"/>
  <c r="AU30" i="27"/>
  <c r="AT30" i="27"/>
  <c r="AV30" i="27"/>
  <c r="AW30" i="27"/>
  <c r="BA30" i="27"/>
  <c r="AS29" i="27"/>
  <c r="AS30" i="27"/>
  <c r="BB29" i="27"/>
  <c r="BC29" i="27"/>
  <c r="AU31" i="27"/>
  <c r="AT31" i="27"/>
  <c r="AV31" i="27"/>
  <c r="AW31" i="27"/>
  <c r="BA31" i="27"/>
  <c r="AU34" i="27"/>
  <c r="AT34" i="27"/>
  <c r="AV34" i="27"/>
  <c r="AW34" i="27"/>
  <c r="BA34" i="27"/>
  <c r="AS31" i="27"/>
  <c r="AS34" i="27"/>
  <c r="BB31" i="27"/>
  <c r="BC31" i="27"/>
  <c r="BD29" i="27"/>
  <c r="BE29" i="27"/>
  <c r="BB34" i="27"/>
  <c r="BC34" i="27"/>
  <c r="BB30" i="27"/>
  <c r="BC30" i="27"/>
  <c r="BD34" i="27"/>
  <c r="BE34" i="27"/>
  <c r="BF29" i="27"/>
  <c r="BG29" i="27"/>
  <c r="BD30" i="27"/>
  <c r="BE30" i="27"/>
  <c r="BD31" i="27"/>
  <c r="BE31" i="27"/>
  <c r="BF30" i="27"/>
  <c r="BG30" i="27"/>
  <c r="AX30" i="27"/>
  <c r="AY30" i="27"/>
  <c r="AZ30" i="27"/>
  <c r="AX34" i="27"/>
  <c r="AY34" i="27"/>
  <c r="AZ34" i="27"/>
  <c r="AX29" i="27"/>
  <c r="AY29" i="27"/>
  <c r="AZ29" i="27"/>
  <c r="AX31" i="27"/>
  <c r="AY31" i="27"/>
  <c r="AZ31" i="27"/>
  <c r="BH30" i="27"/>
  <c r="BH29" i="27"/>
  <c r="BI29" i="27"/>
  <c r="BJ29" i="27"/>
  <c r="BF31" i="27"/>
  <c r="BG31" i="27"/>
  <c r="BF34" i="27"/>
  <c r="BG34" i="27"/>
  <c r="BH34" i="27"/>
  <c r="BH31" i="27"/>
  <c r="BI31" i="27"/>
  <c r="BJ31" i="27"/>
  <c r="BK31" i="27"/>
  <c r="BK29" i="27"/>
  <c r="BL29" i="27"/>
  <c r="BM29" i="27"/>
  <c r="BI30" i="27"/>
  <c r="BJ30" i="27"/>
  <c r="BI34" i="27"/>
  <c r="BJ34" i="27"/>
  <c r="BK34" i="27"/>
  <c r="BK30" i="27"/>
  <c r="BL34" i="27"/>
  <c r="BM34" i="27"/>
  <c r="BN34" i="27"/>
  <c r="BN29" i="27"/>
  <c r="BO29" i="27"/>
  <c r="BP29" i="27"/>
  <c r="BL30" i="27"/>
  <c r="BM30" i="27"/>
  <c r="BL31" i="27"/>
  <c r="BM31" i="27"/>
  <c r="BN31" i="27"/>
  <c r="BN30" i="27"/>
  <c r="BO30" i="27"/>
  <c r="BP30" i="27"/>
  <c r="BQ29" i="27"/>
  <c r="BQ30" i="27"/>
  <c r="BR30" i="27"/>
  <c r="BR29" i="27"/>
  <c r="BS30" i="27"/>
  <c r="BT30" i="27"/>
  <c r="BO31" i="27"/>
  <c r="BP31" i="27"/>
  <c r="BO34" i="27"/>
  <c r="BP34" i="27"/>
  <c r="BQ31" i="27"/>
  <c r="BQ34" i="27"/>
  <c r="BR34" i="27"/>
  <c r="BR31" i="27"/>
  <c r="BS34" i="27"/>
  <c r="BT34" i="27"/>
  <c r="BU30" i="27"/>
  <c r="BU34" i="27"/>
  <c r="BV34" i="27"/>
  <c r="BV30" i="27"/>
  <c r="BW30" i="27"/>
  <c r="BX30" i="27"/>
  <c r="BS29" i="27"/>
  <c r="BT29" i="27"/>
  <c r="BS31" i="27"/>
  <c r="BT31" i="27"/>
  <c r="BU29" i="27"/>
  <c r="BU31" i="27"/>
  <c r="BV29" i="27"/>
  <c r="BW31" i="27"/>
  <c r="BX31" i="27"/>
  <c r="BY30" i="27"/>
  <c r="BY31" i="27"/>
  <c r="BZ31" i="27"/>
  <c r="BZ30" i="27"/>
  <c r="CA30" i="27"/>
  <c r="CH30" i="27"/>
  <c r="CI30" i="27"/>
  <c r="X21" i="27"/>
  <c r="T21" i="27"/>
  <c r="J16" i="4"/>
  <c r="CA8" i="38"/>
  <c r="CH8" i="38"/>
  <c r="CI8" i="38"/>
  <c r="G5" i="38"/>
  <c r="J15" i="4"/>
  <c r="AU61" i="27"/>
  <c r="AT61" i="27"/>
  <c r="AV61" i="27"/>
  <c r="AW61" i="27"/>
  <c r="BA61" i="27"/>
  <c r="AU62" i="27"/>
  <c r="AT62" i="27"/>
  <c r="AV62" i="27"/>
  <c r="AW62" i="27"/>
  <c r="BA62" i="27"/>
  <c r="AS61" i="27"/>
  <c r="BB61" i="27"/>
  <c r="BC61" i="27"/>
  <c r="AU63" i="27"/>
  <c r="AT63" i="27"/>
  <c r="AV63" i="27"/>
  <c r="AW63" i="27"/>
  <c r="BA63" i="27"/>
  <c r="AU64" i="27"/>
  <c r="AT64" i="27"/>
  <c r="AV64" i="27"/>
  <c r="AW64" i="27"/>
  <c r="BA64" i="27"/>
  <c r="AS63" i="27"/>
  <c r="AS64" i="27"/>
  <c r="BB63" i="27"/>
  <c r="AS62" i="27"/>
  <c r="BC63" i="27"/>
  <c r="BD61" i="27"/>
  <c r="BE61" i="27"/>
  <c r="BB64" i="27"/>
  <c r="BC64" i="27"/>
  <c r="BB62" i="27"/>
  <c r="BC62" i="27"/>
  <c r="BD64" i="27"/>
  <c r="BE64" i="27"/>
  <c r="BF61" i="27"/>
  <c r="BG61" i="27"/>
  <c r="BD62" i="27"/>
  <c r="BE62" i="27"/>
  <c r="BD63" i="27"/>
  <c r="BE63" i="27"/>
  <c r="BF62" i="27"/>
  <c r="BG62" i="27"/>
  <c r="AX62" i="27"/>
  <c r="AY62" i="27"/>
  <c r="AZ62" i="27"/>
  <c r="AY61" i="27"/>
  <c r="AX61" i="27"/>
  <c r="AZ61" i="27"/>
  <c r="AY64" i="27"/>
  <c r="AX64" i="27"/>
  <c r="AZ64" i="27"/>
  <c r="BH62" i="27"/>
  <c r="BH61" i="27"/>
  <c r="BI61" i="27"/>
  <c r="BJ61" i="27"/>
  <c r="BF63" i="27"/>
  <c r="BG63" i="27"/>
  <c r="BF64" i="27"/>
  <c r="BG64" i="27"/>
  <c r="AX63" i="27"/>
  <c r="AY63" i="27"/>
  <c r="AZ63" i="27"/>
  <c r="BH64" i="27"/>
  <c r="BH63" i="27"/>
  <c r="BI63" i="27"/>
  <c r="BJ63" i="27"/>
  <c r="BK63" i="27"/>
  <c r="BK61" i="27"/>
  <c r="BL61" i="27"/>
  <c r="BM61" i="27"/>
  <c r="BI62" i="27"/>
  <c r="BJ62" i="27"/>
  <c r="BI64" i="27"/>
  <c r="BJ64" i="27"/>
  <c r="BK64" i="27"/>
  <c r="BK62" i="27"/>
  <c r="BL64" i="27"/>
  <c r="BM64" i="27"/>
  <c r="BN64" i="27"/>
  <c r="BN61" i="27"/>
  <c r="BO61" i="27"/>
  <c r="BP61" i="27"/>
  <c r="BL62" i="27"/>
  <c r="BM62" i="27"/>
  <c r="BL63" i="27"/>
  <c r="BM63" i="27"/>
  <c r="BN63" i="27"/>
  <c r="BN62" i="27"/>
  <c r="BO62" i="27"/>
  <c r="BP62" i="27"/>
  <c r="BQ61" i="27"/>
  <c r="BQ62" i="27"/>
  <c r="BR62" i="27"/>
  <c r="BR61" i="27"/>
  <c r="BS61" i="27"/>
  <c r="BT61" i="27"/>
  <c r="BO63" i="27"/>
  <c r="BP63" i="27"/>
  <c r="BO64" i="27"/>
  <c r="BP64" i="27"/>
  <c r="BQ63" i="27"/>
  <c r="BQ64" i="27"/>
  <c r="BR64" i="27"/>
  <c r="BR63" i="27"/>
  <c r="BS63" i="27"/>
  <c r="BT63" i="27"/>
  <c r="BU61" i="27"/>
  <c r="BU63" i="27"/>
  <c r="BV63" i="27"/>
  <c r="BV61" i="27"/>
  <c r="BW61" i="27"/>
  <c r="BX61" i="27"/>
  <c r="BS62" i="27"/>
  <c r="BT62" i="27"/>
  <c r="BS64" i="27"/>
  <c r="BT64" i="27"/>
  <c r="BU62" i="27"/>
  <c r="BU64" i="27"/>
  <c r="BV64" i="27"/>
  <c r="BV62" i="27"/>
  <c r="BW64" i="27"/>
  <c r="BX64" i="27"/>
  <c r="BY61" i="27"/>
  <c r="BY64" i="27"/>
  <c r="BZ64" i="27"/>
  <c r="BZ61" i="27"/>
  <c r="CA61" i="27"/>
  <c r="CH61" i="27"/>
  <c r="CI61" i="27"/>
  <c r="X52" i="27"/>
  <c r="T52" i="27"/>
  <c r="J14" i="4"/>
  <c r="AU47" i="27"/>
  <c r="AT47" i="27"/>
  <c r="AV47" i="27"/>
  <c r="AW47" i="27"/>
  <c r="BA47" i="27"/>
  <c r="AU48" i="27"/>
  <c r="AT48" i="27"/>
  <c r="AV48" i="27"/>
  <c r="AW48" i="27"/>
  <c r="BA48" i="27"/>
  <c r="AS47" i="27"/>
  <c r="BB47" i="27"/>
  <c r="BC47" i="27"/>
  <c r="AU49" i="27"/>
  <c r="AT49" i="27"/>
  <c r="AV49" i="27"/>
  <c r="AW49" i="27"/>
  <c r="BA49" i="27"/>
  <c r="AU50" i="27"/>
  <c r="AT50" i="27"/>
  <c r="AV50" i="27"/>
  <c r="AW50" i="27"/>
  <c r="BA50" i="27"/>
  <c r="AS49" i="27"/>
  <c r="BB49" i="27"/>
  <c r="AS48" i="27"/>
  <c r="BC49" i="27"/>
  <c r="BD47" i="27"/>
  <c r="BE47" i="27"/>
  <c r="AS50" i="27"/>
  <c r="BB50" i="27"/>
  <c r="BC50" i="27"/>
  <c r="BB48" i="27"/>
  <c r="BC48" i="27"/>
  <c r="BD50" i="27"/>
  <c r="BE50" i="27"/>
  <c r="BF47" i="27"/>
  <c r="BG47" i="27"/>
  <c r="BD48" i="27"/>
  <c r="BE48" i="27"/>
  <c r="BD49" i="27"/>
  <c r="BE49" i="27"/>
  <c r="BF48" i="27"/>
  <c r="BG48" i="27"/>
  <c r="AX48" i="27"/>
  <c r="AY48" i="27"/>
  <c r="AZ48" i="27"/>
  <c r="AX47" i="27"/>
  <c r="AY47" i="27"/>
  <c r="AZ47" i="27"/>
  <c r="AY50" i="27"/>
  <c r="AX50" i="27"/>
  <c r="AZ50" i="27"/>
  <c r="AY49" i="27"/>
  <c r="AX49" i="27"/>
  <c r="AZ49" i="27"/>
  <c r="BH48" i="27"/>
  <c r="BH47" i="27"/>
  <c r="BI47" i="27"/>
  <c r="BJ47" i="27"/>
  <c r="BF49" i="27"/>
  <c r="BG49" i="27"/>
  <c r="BF50" i="27"/>
  <c r="BG50" i="27"/>
  <c r="BH50" i="27"/>
  <c r="BH49" i="27"/>
  <c r="BI49" i="27"/>
  <c r="BJ49" i="27"/>
  <c r="BK49" i="27"/>
  <c r="BK47" i="27"/>
  <c r="BL47" i="27"/>
  <c r="BM47" i="27"/>
  <c r="BI48" i="27"/>
  <c r="BJ48" i="27"/>
  <c r="BI50" i="27"/>
  <c r="BJ50" i="27"/>
  <c r="BK50" i="27"/>
  <c r="BK48" i="27"/>
  <c r="BL50" i="27"/>
  <c r="BM50" i="27"/>
  <c r="BN50" i="27"/>
  <c r="BN47" i="27"/>
  <c r="BO47" i="27"/>
  <c r="BP47" i="27"/>
  <c r="BL48" i="27"/>
  <c r="BM48" i="27"/>
  <c r="BL49" i="27"/>
  <c r="BM49" i="27"/>
  <c r="BN49" i="27"/>
  <c r="BN48" i="27"/>
  <c r="BO48" i="27"/>
  <c r="BP48" i="27"/>
  <c r="BQ47" i="27"/>
  <c r="BQ48" i="27"/>
  <c r="BR48" i="27"/>
  <c r="BR47" i="27"/>
  <c r="BS47" i="27"/>
  <c r="BT47" i="27"/>
  <c r="BO49" i="27"/>
  <c r="BP49" i="27"/>
  <c r="BO50" i="27"/>
  <c r="BP50" i="27"/>
  <c r="BQ49" i="27"/>
  <c r="BQ50" i="27"/>
  <c r="BR50" i="27"/>
  <c r="BR49" i="27"/>
  <c r="BS49" i="27"/>
  <c r="BT49" i="27"/>
  <c r="BU47" i="27"/>
  <c r="BU49" i="27"/>
  <c r="BV49" i="27"/>
  <c r="BV47" i="27"/>
  <c r="BW47" i="27"/>
  <c r="BX47" i="27"/>
  <c r="BS48" i="27"/>
  <c r="BT48" i="27"/>
  <c r="BS50" i="27"/>
  <c r="BT50" i="27"/>
  <c r="BU48" i="27"/>
  <c r="BU50" i="27"/>
  <c r="BV50" i="27"/>
  <c r="BV48" i="27"/>
  <c r="BW50" i="27"/>
  <c r="BX50" i="27"/>
  <c r="BY47" i="27"/>
  <c r="BY50" i="27"/>
  <c r="BZ50" i="27"/>
  <c r="BZ47" i="27"/>
  <c r="CA47" i="27"/>
  <c r="CH47" i="27"/>
  <c r="CI47" i="27"/>
  <c r="X37" i="27"/>
  <c r="D14" i="4"/>
  <c r="CA57" i="27"/>
  <c r="CH57" i="27"/>
  <c r="CI57" i="27"/>
  <c r="G55" i="27"/>
  <c r="V16" i="4"/>
  <c r="CA64" i="27"/>
  <c r="CH64" i="27"/>
  <c r="CI64" i="27"/>
  <c r="X55" i="27"/>
  <c r="T55" i="27"/>
  <c r="V17" i="4"/>
  <c r="AU22" i="27"/>
  <c r="AT22" i="27"/>
  <c r="AV22" i="27"/>
  <c r="AW22" i="27"/>
  <c r="BA22" i="27"/>
  <c r="AU23" i="27"/>
  <c r="AT23" i="27"/>
  <c r="AV23" i="27"/>
  <c r="AW23" i="27"/>
  <c r="BA23" i="27"/>
  <c r="AS22" i="27"/>
  <c r="BB22" i="27"/>
  <c r="BC22" i="27"/>
  <c r="AU24" i="27"/>
  <c r="AT24" i="27"/>
  <c r="AV24" i="27"/>
  <c r="AW24" i="27"/>
  <c r="BA24" i="27"/>
  <c r="AU25" i="27"/>
  <c r="AT25" i="27"/>
  <c r="AV25" i="27"/>
  <c r="AW25" i="27"/>
  <c r="BA25" i="27"/>
  <c r="AS24" i="27"/>
  <c r="BB24" i="27"/>
  <c r="AS23" i="27"/>
  <c r="BC24" i="27"/>
  <c r="BD22" i="27"/>
  <c r="BE22" i="27"/>
  <c r="AS25" i="27"/>
  <c r="BB25" i="27"/>
  <c r="BC25" i="27"/>
  <c r="BB23" i="27"/>
  <c r="BC23" i="27"/>
  <c r="BD25" i="27"/>
  <c r="BE25" i="27"/>
  <c r="BF22" i="27"/>
  <c r="BG22" i="27"/>
  <c r="BD23" i="27"/>
  <c r="BE23" i="27"/>
  <c r="BD24" i="27"/>
  <c r="BE24" i="27"/>
  <c r="BF23" i="27"/>
  <c r="BG23" i="27"/>
  <c r="AX23" i="27"/>
  <c r="AY23" i="27"/>
  <c r="AZ23" i="27"/>
  <c r="AX22" i="27"/>
  <c r="AY22" i="27"/>
  <c r="AZ22" i="27"/>
  <c r="AY25" i="27"/>
  <c r="AX25" i="27"/>
  <c r="AZ25" i="27"/>
  <c r="AY24" i="27"/>
  <c r="AX24" i="27"/>
  <c r="AZ24" i="27"/>
  <c r="BH23" i="27"/>
  <c r="BH22" i="27"/>
  <c r="BI22" i="27"/>
  <c r="BJ22" i="27"/>
  <c r="BF24" i="27"/>
  <c r="BG24" i="27"/>
  <c r="BF25" i="27"/>
  <c r="BG25" i="27"/>
  <c r="BH25" i="27"/>
  <c r="BH24" i="27"/>
  <c r="BI24" i="27"/>
  <c r="BJ24" i="27"/>
  <c r="BK24" i="27"/>
  <c r="BK22" i="27"/>
  <c r="BL22" i="27"/>
  <c r="BM22" i="27"/>
  <c r="BI23" i="27"/>
  <c r="BJ23" i="27"/>
  <c r="BI25" i="27"/>
  <c r="BJ25" i="27"/>
  <c r="BK25" i="27"/>
  <c r="BK23" i="27"/>
  <c r="BL25" i="27"/>
  <c r="BM25" i="27"/>
  <c r="BN25" i="27"/>
  <c r="BN22" i="27"/>
  <c r="BO22" i="27"/>
  <c r="BP22" i="27"/>
  <c r="BL23" i="27"/>
  <c r="BM23" i="27"/>
  <c r="BL24" i="27"/>
  <c r="BM24" i="27"/>
  <c r="BN24" i="27"/>
  <c r="BN23" i="27"/>
  <c r="BO23" i="27"/>
  <c r="BP23" i="27"/>
  <c r="BQ22" i="27"/>
  <c r="BQ23" i="27"/>
  <c r="BR23" i="27"/>
  <c r="BR22" i="27"/>
  <c r="BS23" i="27"/>
  <c r="BT23" i="27"/>
  <c r="BO24" i="27"/>
  <c r="BP24" i="27"/>
  <c r="BO25" i="27"/>
  <c r="BP25" i="27"/>
  <c r="BQ24" i="27"/>
  <c r="BQ25" i="27"/>
  <c r="BR25" i="27"/>
  <c r="BR24" i="27"/>
  <c r="BS25" i="27"/>
  <c r="BT25" i="27"/>
  <c r="BU23" i="27"/>
  <c r="BU25" i="27"/>
  <c r="BV25" i="27"/>
  <c r="BV23" i="27"/>
  <c r="BW23" i="27"/>
  <c r="BX23" i="27"/>
  <c r="BS22" i="27"/>
  <c r="BT22" i="27"/>
  <c r="BS24" i="27"/>
  <c r="BT24" i="27"/>
  <c r="BU22" i="27"/>
  <c r="BU24" i="27"/>
  <c r="BV22" i="27"/>
  <c r="BW24" i="27"/>
  <c r="BX24" i="27"/>
  <c r="BY23" i="27"/>
  <c r="BY24" i="27"/>
  <c r="BZ24" i="27"/>
  <c r="BZ23" i="27"/>
  <c r="CA23" i="27"/>
  <c r="CH23" i="27"/>
  <c r="CI23" i="27"/>
  <c r="G21" i="27"/>
  <c r="C21" i="27"/>
  <c r="P17" i="4"/>
  <c r="J61" i="1"/>
  <c r="E61" i="1"/>
  <c r="J60" i="1"/>
  <c r="E60" i="1"/>
  <c r="J53" i="1"/>
  <c r="E53" i="1"/>
  <c r="J52" i="1"/>
  <c r="E52" i="1"/>
  <c r="BV10" i="27"/>
  <c r="BW8" i="27"/>
  <c r="BX8" i="27"/>
  <c r="BW11" i="27"/>
  <c r="BX11" i="27"/>
  <c r="BY8" i="27"/>
  <c r="BY11" i="27"/>
  <c r="BZ11" i="27"/>
  <c r="BZ8" i="27"/>
  <c r="CA8" i="27"/>
  <c r="CH8" i="27"/>
  <c r="CI8" i="27"/>
  <c r="G5" i="27"/>
  <c r="C5" i="27"/>
  <c r="D8" i="4"/>
  <c r="T83" i="1"/>
  <c r="BV17" i="27"/>
  <c r="BW15" i="27"/>
  <c r="BX15" i="27"/>
  <c r="BW18" i="27"/>
  <c r="BX18" i="27"/>
  <c r="BY15" i="27"/>
  <c r="BY18" i="27"/>
  <c r="BZ18" i="27"/>
  <c r="BZ15" i="27"/>
  <c r="CA15" i="27"/>
  <c r="CH15" i="27"/>
  <c r="CI15" i="27"/>
  <c r="X5" i="27"/>
  <c r="T5" i="27"/>
  <c r="D9" i="4"/>
  <c r="Y83" i="1"/>
  <c r="BV24" i="27"/>
  <c r="BW22" i="27"/>
  <c r="BX22" i="27"/>
  <c r="BW25" i="27"/>
  <c r="BX25" i="27"/>
  <c r="BY22" i="27"/>
  <c r="BY25" i="27"/>
  <c r="BZ25" i="27"/>
  <c r="BZ22" i="27"/>
  <c r="CA22" i="27"/>
  <c r="CH22" i="27"/>
  <c r="CI22" i="27"/>
  <c r="G20" i="27"/>
  <c r="C20" i="27"/>
  <c r="J8" i="4"/>
  <c r="T84" i="1"/>
  <c r="BV31" i="27"/>
  <c r="BW29" i="27"/>
  <c r="BX29" i="27"/>
  <c r="BW34" i="27"/>
  <c r="BX34" i="27"/>
  <c r="BY29" i="27"/>
  <c r="BY34" i="27"/>
  <c r="BZ34" i="27"/>
  <c r="BZ29" i="27"/>
  <c r="CA29" i="27"/>
  <c r="CH29" i="27"/>
  <c r="CI29" i="27"/>
  <c r="X20" i="27"/>
  <c r="T20" i="27"/>
  <c r="J9" i="4"/>
  <c r="Y84" i="1"/>
  <c r="BW55" i="27"/>
  <c r="BX55" i="27"/>
  <c r="BW56" i="27"/>
  <c r="BX56" i="27"/>
  <c r="BY55" i="27"/>
  <c r="BY56" i="27"/>
  <c r="BZ56" i="27"/>
  <c r="BZ55" i="27"/>
  <c r="CA55" i="27"/>
  <c r="CH55" i="27"/>
  <c r="CI55" i="27"/>
  <c r="G53" i="27"/>
  <c r="J10" i="4"/>
  <c r="T85" i="1"/>
  <c r="Y85" i="1"/>
  <c r="BV42" i="27"/>
  <c r="BW40" i="27"/>
  <c r="BX40" i="27"/>
  <c r="BW43" i="27"/>
  <c r="BX43" i="27"/>
  <c r="BY40" i="27"/>
  <c r="BY43" i="27"/>
  <c r="BZ43" i="27"/>
  <c r="BZ40" i="27"/>
  <c r="CA40" i="27"/>
  <c r="CH40" i="27"/>
  <c r="CI40" i="27"/>
  <c r="G37" i="27"/>
  <c r="P8" i="4"/>
  <c r="T86" i="1"/>
  <c r="BW62" i="27"/>
  <c r="BX62" i="27"/>
  <c r="BW63" i="27"/>
  <c r="BX63" i="27"/>
  <c r="BY62" i="27"/>
  <c r="BY63" i="27"/>
  <c r="BZ63" i="27"/>
  <c r="BZ62" i="27"/>
  <c r="CA62" i="27"/>
  <c r="CH62" i="27"/>
  <c r="CI62" i="27"/>
  <c r="X53" i="27"/>
  <c r="T53" i="27"/>
  <c r="P9" i="4"/>
  <c r="Y86" i="1"/>
  <c r="BW9" i="38"/>
  <c r="BX9" i="38"/>
  <c r="BW10" i="38"/>
  <c r="BX10" i="38"/>
  <c r="BY9" i="38"/>
  <c r="BY10" i="38"/>
  <c r="BZ10" i="38"/>
  <c r="BZ9" i="38"/>
  <c r="CA9" i="38"/>
  <c r="CH9" i="38"/>
  <c r="CI9" i="38"/>
  <c r="G6" i="38"/>
  <c r="P10" i="4"/>
  <c r="T87" i="1"/>
  <c r="BW16" i="38"/>
  <c r="BX16" i="38"/>
  <c r="BW17" i="38"/>
  <c r="BX17" i="38"/>
  <c r="BY16" i="38"/>
  <c r="BY17" i="38"/>
  <c r="BZ17" i="38"/>
  <c r="BZ16" i="38"/>
  <c r="CA16" i="38"/>
  <c r="CH16" i="38"/>
  <c r="CI16" i="38"/>
  <c r="X6" i="38"/>
  <c r="P11" i="4"/>
  <c r="Y87" i="1"/>
  <c r="BW48" i="27"/>
  <c r="BX48" i="27"/>
  <c r="BW49" i="27"/>
  <c r="BX49" i="27"/>
  <c r="BY48" i="27"/>
  <c r="BY49" i="27"/>
  <c r="BZ49" i="27"/>
  <c r="BZ48" i="27"/>
  <c r="CA48" i="27"/>
  <c r="CH48" i="27"/>
  <c r="CI48" i="27"/>
  <c r="X38" i="27"/>
  <c r="D10" i="4"/>
  <c r="T91" i="1"/>
  <c r="Y91" i="1"/>
  <c r="T92" i="1"/>
  <c r="Y92" i="1"/>
  <c r="T93" i="1"/>
  <c r="Y93" i="1"/>
  <c r="T94" i="1"/>
  <c r="Y94" i="1"/>
  <c r="T95" i="1"/>
  <c r="Y95" i="1"/>
  <c r="S44" i="4"/>
  <c r="S36" i="4"/>
  <c r="S28" i="4"/>
  <c r="S20" i="4"/>
  <c r="D52" i="4"/>
  <c r="D44" i="4"/>
  <c r="CA34" i="27"/>
  <c r="CH34" i="27"/>
  <c r="CI34" i="27"/>
  <c r="X23" i="27"/>
  <c r="T23" i="27"/>
  <c r="AB10" i="4"/>
  <c r="CA50" i="27"/>
  <c r="CH50" i="27"/>
  <c r="CI50" i="27"/>
  <c r="X40" i="27"/>
  <c r="T40" i="27"/>
  <c r="V15" i="4"/>
  <c r="C55" i="27"/>
  <c r="AO41" i="4"/>
  <c r="C5" i="38"/>
  <c r="T6" i="27"/>
  <c r="CA18" i="27"/>
  <c r="CH18" i="27"/>
  <c r="CI18" i="27"/>
  <c r="X8" i="27"/>
  <c r="T8" i="27"/>
  <c r="V10" i="4"/>
  <c r="AO33" i="4"/>
  <c r="C6" i="38"/>
  <c r="C52" i="27"/>
  <c r="C37" i="27"/>
  <c r="AO25" i="4"/>
  <c r="T38" i="27"/>
  <c r="T8" i="38"/>
  <c r="D35" i="1"/>
  <c r="P4" i="33"/>
  <c r="O4" i="33"/>
  <c r="D27" i="1"/>
  <c r="D2" i="1"/>
  <c r="G33" i="29"/>
  <c r="F9" i="45"/>
  <c r="H9" i="45"/>
  <c r="F8" i="45"/>
  <c r="H8" i="45"/>
  <c r="F7" i="45"/>
  <c r="H7" i="45"/>
  <c r="F6" i="45"/>
  <c r="H6" i="45"/>
  <c r="F5" i="45"/>
  <c r="H5" i="45"/>
  <c r="F4" i="45"/>
  <c r="H4" i="45"/>
  <c r="J3" i="45"/>
  <c r="F332" i="35"/>
  <c r="N321" i="35"/>
  <c r="B334" i="35"/>
  <c r="J182" i="35"/>
  <c r="J40" i="35"/>
  <c r="K12" i="37"/>
  <c r="I12" i="37"/>
  <c r="BA33" i="27"/>
  <c r="BA32" i="27"/>
  <c r="F13" i="44"/>
  <c r="H13" i="44"/>
  <c r="F12" i="44"/>
  <c r="H12" i="44"/>
  <c r="J3" i="44"/>
  <c r="F11" i="44"/>
  <c r="H11" i="44"/>
  <c r="F9" i="44"/>
  <c r="H9" i="44"/>
  <c r="F7" i="44"/>
  <c r="H7" i="44"/>
  <c r="F5" i="44"/>
  <c r="H5" i="44"/>
  <c r="F10" i="44"/>
  <c r="H10" i="44"/>
  <c r="F8" i="44"/>
  <c r="H8" i="44"/>
  <c r="F6" i="44"/>
  <c r="H6" i="44"/>
  <c r="F4" i="44"/>
  <c r="H4" i="44"/>
  <c r="A16" i="41"/>
  <c r="B323" i="30"/>
  <c r="B334" i="30"/>
  <c r="B217" i="30"/>
  <c r="B182" i="30"/>
  <c r="B146" i="30"/>
  <c r="B111" i="30"/>
  <c r="J135" i="30"/>
  <c r="B76" i="30"/>
  <c r="A16" i="37"/>
  <c r="A15" i="37"/>
  <c r="A14" i="37"/>
  <c r="A13" i="37"/>
  <c r="A12" i="37"/>
  <c r="A11" i="37"/>
  <c r="F47" i="42"/>
  <c r="D47" i="42"/>
  <c r="F44" i="42"/>
  <c r="D44" i="42"/>
  <c r="B44" i="42"/>
  <c r="B29" i="33"/>
  <c r="B30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R30" i="41"/>
  <c r="R31" i="41"/>
  <c r="R28" i="41"/>
  <c r="A30" i="41"/>
  <c r="A28" i="41"/>
  <c r="A29" i="41"/>
  <c r="R26" i="41"/>
  <c r="R27" i="41"/>
  <c r="A26" i="41"/>
  <c r="A27" i="41"/>
  <c r="A14" i="41"/>
  <c r="A13" i="41"/>
  <c r="A15" i="41"/>
  <c r="R15" i="41"/>
  <c r="R16" i="41"/>
  <c r="R13" i="41"/>
  <c r="R14" i="41"/>
  <c r="R11" i="41"/>
  <c r="R12" i="41"/>
  <c r="A11" i="41"/>
  <c r="R46" i="34"/>
  <c r="R47" i="34"/>
  <c r="R44" i="34"/>
  <c r="R45" i="34"/>
  <c r="A46" i="34"/>
  <c r="A47" i="34"/>
  <c r="A44" i="34"/>
  <c r="A45" i="34"/>
  <c r="R42" i="34"/>
  <c r="R43" i="34"/>
  <c r="A42" i="34"/>
  <c r="A43" i="34"/>
  <c r="A30" i="34"/>
  <c r="A31" i="34"/>
  <c r="R15" i="34"/>
  <c r="R16" i="34"/>
  <c r="R30" i="34"/>
  <c r="R31" i="34"/>
  <c r="R26" i="34"/>
  <c r="R27" i="34"/>
  <c r="R28" i="34"/>
  <c r="R29" i="34"/>
  <c r="A28" i="34"/>
  <c r="A29" i="34"/>
  <c r="R13" i="34"/>
  <c r="R14" i="34"/>
  <c r="A15" i="34"/>
  <c r="A13" i="34"/>
  <c r="A14" i="34"/>
  <c r="A26" i="34"/>
  <c r="A27" i="34"/>
  <c r="R11" i="34"/>
  <c r="R12" i="34"/>
  <c r="A12" i="34"/>
  <c r="A11" i="34"/>
  <c r="A31" i="41"/>
  <c r="R29" i="41"/>
  <c r="A12" i="41"/>
  <c r="A16" i="34"/>
  <c r="F36" i="42"/>
  <c r="D36" i="42"/>
  <c r="R15" i="38"/>
  <c r="R13" i="38"/>
  <c r="A15" i="38"/>
  <c r="A13" i="38"/>
  <c r="R45" i="27"/>
  <c r="R62" i="27"/>
  <c r="R60" i="27"/>
  <c r="A62" i="27"/>
  <c r="A63" i="27"/>
  <c r="A60" i="27"/>
  <c r="R47" i="27"/>
  <c r="R48" i="27"/>
  <c r="A47" i="27"/>
  <c r="A48" i="27"/>
  <c r="A45" i="27"/>
  <c r="R30" i="27"/>
  <c r="R31" i="27"/>
  <c r="R28" i="27"/>
  <c r="R29" i="27"/>
  <c r="R13" i="27"/>
  <c r="A28" i="27"/>
  <c r="A30" i="27"/>
  <c r="A31" i="27"/>
  <c r="R15" i="27"/>
  <c r="R16" i="27"/>
  <c r="A15" i="27"/>
  <c r="A16" i="27"/>
  <c r="R16" i="38"/>
  <c r="R14" i="38"/>
  <c r="A16" i="38"/>
  <c r="A14" i="38"/>
  <c r="A61" i="27"/>
  <c r="R63" i="27"/>
  <c r="R61" i="27"/>
  <c r="R46" i="27"/>
  <c r="A46" i="27"/>
  <c r="A29" i="27"/>
  <c r="R14" i="27"/>
  <c r="A13" i="27"/>
  <c r="A14" i="27"/>
  <c r="AG65" i="4"/>
  <c r="AG49" i="4"/>
  <c r="AG41" i="4"/>
  <c r="AG33" i="4"/>
  <c r="AG25" i="4"/>
  <c r="J88" i="30"/>
  <c r="B40" i="30"/>
  <c r="J52" i="30"/>
  <c r="R11" i="38"/>
  <c r="R12" i="38"/>
  <c r="A11" i="38"/>
  <c r="A12" i="38"/>
  <c r="R58" i="27"/>
  <c r="R59" i="27"/>
  <c r="A58" i="27"/>
  <c r="A59" i="27"/>
  <c r="R43" i="27"/>
  <c r="R44" i="27"/>
  <c r="A43" i="27"/>
  <c r="A44" i="27"/>
  <c r="R26" i="27"/>
  <c r="R27" i="27"/>
  <c r="A11" i="27"/>
  <c r="AS30" i="41"/>
  <c r="U30" i="41"/>
  <c r="AS29" i="41"/>
  <c r="U26" i="41"/>
  <c r="F32" i="42"/>
  <c r="F33" i="42"/>
  <c r="D33" i="42"/>
  <c r="D32" i="42"/>
  <c r="B33" i="42"/>
  <c r="B29" i="42"/>
  <c r="B28" i="42"/>
  <c r="B27" i="42"/>
  <c r="AS22" i="41"/>
  <c r="D26" i="41"/>
  <c r="CR65254" i="41"/>
  <c r="CR65253" i="41"/>
  <c r="CR65252" i="41"/>
  <c r="CR65251" i="41"/>
  <c r="CR65250" i="41"/>
  <c r="CR64" i="41"/>
  <c r="AO64" i="41"/>
  <c r="CR63" i="41"/>
  <c r="AO63" i="41"/>
  <c r="CR62" i="41"/>
  <c r="AO62" i="41"/>
  <c r="AB16" i="41"/>
  <c r="AK53" i="41"/>
  <c r="Z16" i="41"/>
  <c r="AJ53" i="41"/>
  <c r="K16" i="41"/>
  <c r="AK51" i="41"/>
  <c r="I16" i="41"/>
  <c r="AJ51" i="41"/>
  <c r="AP51" i="41"/>
  <c r="CR61" i="41"/>
  <c r="AS61" i="41"/>
  <c r="U15" i="41"/>
  <c r="AO61" i="41"/>
  <c r="AB15" i="41"/>
  <c r="AK52" i="41"/>
  <c r="Z15" i="41"/>
  <c r="AJ52" i="41"/>
  <c r="K15" i="41"/>
  <c r="AK50" i="41"/>
  <c r="I15" i="41"/>
  <c r="AJ50" i="41"/>
  <c r="AS60" i="41"/>
  <c r="U11" i="41"/>
  <c r="AB14" i="41"/>
  <c r="AK38" i="41"/>
  <c r="Z14" i="41"/>
  <c r="AJ38" i="41"/>
  <c r="K14" i="41"/>
  <c r="AK34" i="41"/>
  <c r="I14" i="41"/>
  <c r="AJ34" i="41"/>
  <c r="AB13" i="41"/>
  <c r="AK36" i="41"/>
  <c r="Z13" i="41"/>
  <c r="AJ36" i="41"/>
  <c r="K13" i="41"/>
  <c r="AK31" i="41"/>
  <c r="I13" i="41"/>
  <c r="AJ31" i="41"/>
  <c r="AB12" i="41"/>
  <c r="AK21" i="41"/>
  <c r="Z12" i="41"/>
  <c r="AJ21" i="41"/>
  <c r="K12" i="41"/>
  <c r="AK15" i="41"/>
  <c r="I12" i="41"/>
  <c r="AJ15" i="41"/>
  <c r="AB11" i="41"/>
  <c r="AK19" i="41"/>
  <c r="Z11" i="41"/>
  <c r="AJ19" i="41"/>
  <c r="K11" i="41"/>
  <c r="AK17" i="41"/>
  <c r="I11" i="41"/>
  <c r="AJ17" i="41"/>
  <c r="AP17" i="41"/>
  <c r="CR55" i="41"/>
  <c r="CR54" i="41"/>
  <c r="CR53" i="41"/>
  <c r="AS53" i="41"/>
  <c r="F16" i="41"/>
  <c r="CR52" i="41"/>
  <c r="CR51" i="41"/>
  <c r="CR50" i="41"/>
  <c r="AF4" i="41"/>
  <c r="O4" i="41"/>
  <c r="CR49" i="41"/>
  <c r="CR48" i="41"/>
  <c r="CR47" i="41"/>
  <c r="AK45" i="41"/>
  <c r="CR46" i="41"/>
  <c r="CR45" i="41"/>
  <c r="AJ45" i="41"/>
  <c r="AJ27" i="41"/>
  <c r="AJ25" i="41"/>
  <c r="CR44" i="41"/>
  <c r="AK44" i="41"/>
  <c r="AJ44" i="41"/>
  <c r="AP44" i="41"/>
  <c r="AK23" i="41"/>
  <c r="AJ23" i="41"/>
  <c r="AO23" i="41"/>
  <c r="CR43" i="41"/>
  <c r="AK43" i="41"/>
  <c r="AJ43" i="41"/>
  <c r="CR42" i="41"/>
  <c r="AS42" i="41"/>
  <c r="AK42" i="41"/>
  <c r="AJ42" i="41"/>
  <c r="AP42" i="41"/>
  <c r="AK13" i="41"/>
  <c r="CR41" i="41"/>
  <c r="CR40" i="41"/>
  <c r="CR39" i="41"/>
  <c r="CR38" i="41"/>
  <c r="CR37" i="41"/>
  <c r="CR36" i="41"/>
  <c r="CR35" i="41"/>
  <c r="CR34" i="41"/>
  <c r="CR33" i="41"/>
  <c r="CR31" i="41"/>
  <c r="AB31" i="41"/>
  <c r="AK55" i="41"/>
  <c r="Z31" i="41"/>
  <c r="AJ55" i="41"/>
  <c r="K31" i="41"/>
  <c r="AK49" i="41"/>
  <c r="I31" i="41"/>
  <c r="AJ49" i="41"/>
  <c r="CR30" i="41"/>
  <c r="AB30" i="41"/>
  <c r="AK54" i="41"/>
  <c r="Z30" i="41"/>
  <c r="AJ54" i="41"/>
  <c r="K30" i="41"/>
  <c r="AK48" i="41"/>
  <c r="I30" i="41"/>
  <c r="AJ48" i="41"/>
  <c r="AO48" i="41"/>
  <c r="CR29" i="41"/>
  <c r="AK29" i="41"/>
  <c r="AJ29" i="41"/>
  <c r="AB29" i="41"/>
  <c r="AK39" i="41"/>
  <c r="Z29" i="41"/>
  <c r="AJ39" i="41"/>
  <c r="K29" i="41"/>
  <c r="AK35" i="41"/>
  <c r="I29" i="41"/>
  <c r="AJ35" i="41"/>
  <c r="CR28" i="41"/>
  <c r="AB28" i="41"/>
  <c r="AK37" i="41"/>
  <c r="Z28" i="41"/>
  <c r="AJ37" i="41"/>
  <c r="K28" i="41"/>
  <c r="AK33" i="41"/>
  <c r="I28" i="41"/>
  <c r="AJ33" i="41"/>
  <c r="CR27" i="41"/>
  <c r="AK27" i="41"/>
  <c r="AB27" i="41"/>
  <c r="AK22" i="41"/>
  <c r="Z27" i="41"/>
  <c r="AJ22" i="41"/>
  <c r="K27" i="41"/>
  <c r="AK18" i="41"/>
  <c r="I27" i="41"/>
  <c r="AJ18" i="41"/>
  <c r="CR26" i="41"/>
  <c r="AB26" i="41"/>
  <c r="AK20" i="41"/>
  <c r="Z26" i="41"/>
  <c r="AJ20" i="41"/>
  <c r="AY30" i="41"/>
  <c r="K26" i="41"/>
  <c r="AK16" i="41"/>
  <c r="I26" i="41"/>
  <c r="AJ16" i="41"/>
  <c r="CR25" i="41"/>
  <c r="AK25" i="41"/>
  <c r="CR24" i="41"/>
  <c r="CR23" i="41"/>
  <c r="CR22" i="41"/>
  <c r="CR21" i="41"/>
  <c r="CR20" i="41"/>
  <c r="CR19" i="41"/>
  <c r="AF19" i="41"/>
  <c r="O19" i="41"/>
  <c r="CR18" i="41"/>
  <c r="AS18" i="41"/>
  <c r="CR17" i="41"/>
  <c r="CR16" i="41"/>
  <c r="AK47" i="41"/>
  <c r="AJ47" i="41"/>
  <c r="AK41" i="41"/>
  <c r="AJ41" i="41"/>
  <c r="CR15" i="41"/>
  <c r="AK46" i="41"/>
  <c r="AJ46" i="41"/>
  <c r="AK40" i="41"/>
  <c r="AJ40" i="41"/>
  <c r="CR14" i="41"/>
  <c r="AK30" i="41"/>
  <c r="AJ30" i="41"/>
  <c r="AK26" i="41"/>
  <c r="AJ26" i="41"/>
  <c r="CR13" i="41"/>
  <c r="AJ13" i="41"/>
  <c r="AK28" i="41"/>
  <c r="AJ28" i="41"/>
  <c r="AK24" i="41"/>
  <c r="AJ24" i="41"/>
  <c r="CR12" i="41"/>
  <c r="AJ12" i="41"/>
  <c r="AK12" i="41"/>
  <c r="AK7" i="41"/>
  <c r="CR11" i="41"/>
  <c r="AS11" i="41"/>
  <c r="AK11" i="41"/>
  <c r="AJ11" i="41"/>
  <c r="AO11" i="41"/>
  <c r="AK14" i="41"/>
  <c r="AT16" i="41"/>
  <c r="AJ14" i="41"/>
  <c r="CR10" i="41"/>
  <c r="AK10" i="41"/>
  <c r="AJ10" i="41"/>
  <c r="AO10" i="41"/>
  <c r="CR9" i="41"/>
  <c r="AK9" i="41"/>
  <c r="AY8" i="41"/>
  <c r="AJ9" i="41"/>
  <c r="CR8" i="41"/>
  <c r="AJ8" i="41"/>
  <c r="AK8" i="41"/>
  <c r="AP8" i="41"/>
  <c r="CR7" i="41"/>
  <c r="AJ7" i="41"/>
  <c r="AX10" i="41"/>
  <c r="AB28" i="34"/>
  <c r="AK37" i="34"/>
  <c r="W14" i="41"/>
  <c r="AO7" i="41"/>
  <c r="AP29" i="41"/>
  <c r="AP43" i="41"/>
  <c r="AP13" i="41"/>
  <c r="AY11" i="41"/>
  <c r="AT10" i="41"/>
  <c r="AP11" i="41"/>
  <c r="AO28" i="41"/>
  <c r="AO13" i="41"/>
  <c r="AP23" i="41"/>
  <c r="AO29" i="41"/>
  <c r="AO44" i="41"/>
  <c r="AO24" i="41"/>
  <c r="AO43" i="41"/>
  <c r="AP7" i="41"/>
  <c r="AP9" i="41"/>
  <c r="AY9" i="41"/>
  <c r="AO9" i="41"/>
  <c r="AX8" i="41"/>
  <c r="AZ8" i="41"/>
  <c r="AT8" i="41"/>
  <c r="AY16" i="41"/>
  <c r="AP14" i="41"/>
  <c r="AX15" i="41"/>
  <c r="AT15" i="41"/>
  <c r="AO14" i="41"/>
  <c r="AX11" i="41"/>
  <c r="AT11" i="41"/>
  <c r="AY10" i="41"/>
  <c r="AY17" i="41"/>
  <c r="AT18" i="41"/>
  <c r="AP12" i="41"/>
  <c r="AX18" i="41"/>
  <c r="AP24" i="41"/>
  <c r="AP27" i="41"/>
  <c r="AO27" i="41"/>
  <c r="AP28" i="41"/>
  <c r="AY42" i="41"/>
  <c r="AT41" i="41"/>
  <c r="AX41" i="41"/>
  <c r="AT9" i="41"/>
  <c r="AX9" i="41"/>
  <c r="AY18" i="41"/>
  <c r="AX17" i="41"/>
  <c r="AT17" i="41"/>
  <c r="AP26" i="41"/>
  <c r="AO26" i="41"/>
  <c r="AO30" i="41"/>
  <c r="AY39" i="41"/>
  <c r="AX40" i="41"/>
  <c r="AT40" i="41"/>
  <c r="AP10" i="41"/>
  <c r="AY49" i="41"/>
  <c r="AX48" i="41"/>
  <c r="AY48" i="41"/>
  <c r="AZ48" i="41"/>
  <c r="AT48" i="41"/>
  <c r="AY47" i="41"/>
  <c r="AX46" i="41"/>
  <c r="AT46" i="41"/>
  <c r="AP40" i="41"/>
  <c r="AO40" i="41"/>
  <c r="AP46" i="41"/>
  <c r="AO46" i="41"/>
  <c r="AY15" i="41"/>
  <c r="AX16" i="41"/>
  <c r="AP25" i="41"/>
  <c r="AO25" i="41"/>
  <c r="AP30" i="41"/>
  <c r="AX42" i="41"/>
  <c r="AT42" i="41"/>
  <c r="AY41" i="41"/>
  <c r="AO8" i="41"/>
  <c r="AY40" i="41"/>
  <c r="AZ40" i="41"/>
  <c r="AX39" i="41"/>
  <c r="AT39" i="41"/>
  <c r="AX49" i="41"/>
  <c r="AT49" i="41"/>
  <c r="AO12" i="41"/>
  <c r="AY46" i="41"/>
  <c r="AX47" i="41"/>
  <c r="AT47" i="41"/>
  <c r="AY53" i="41"/>
  <c r="W31" i="41"/>
  <c r="AX24" i="41"/>
  <c r="AO41" i="41"/>
  <c r="AP47" i="41"/>
  <c r="AO47" i="41"/>
  <c r="AP41" i="41"/>
  <c r="AP45" i="41"/>
  <c r="AO45" i="41"/>
  <c r="AO42" i="41"/>
  <c r="W16" i="41"/>
  <c r="AB16" i="34"/>
  <c r="AK47" i="34"/>
  <c r="Z16" i="34"/>
  <c r="AJ47" i="34"/>
  <c r="AB15" i="34"/>
  <c r="Z15" i="34"/>
  <c r="AJ46" i="34"/>
  <c r="AB14" i="34"/>
  <c r="AK30" i="34"/>
  <c r="Z14" i="34"/>
  <c r="AJ30" i="34"/>
  <c r="AO30" i="34"/>
  <c r="AB13" i="34"/>
  <c r="AK28" i="34"/>
  <c r="Z13" i="34"/>
  <c r="AJ28" i="34"/>
  <c r="K16" i="34"/>
  <c r="AK41" i="34"/>
  <c r="K15" i="34"/>
  <c r="AK40" i="34"/>
  <c r="I16" i="34"/>
  <c r="I15" i="34"/>
  <c r="K14" i="34"/>
  <c r="AK26" i="34"/>
  <c r="I14" i="34"/>
  <c r="AJ26" i="34"/>
  <c r="AP26" i="34"/>
  <c r="K13" i="34"/>
  <c r="AK24" i="34"/>
  <c r="I13" i="34"/>
  <c r="AJ24" i="34"/>
  <c r="K31" i="34"/>
  <c r="AK49" i="34"/>
  <c r="I31" i="34"/>
  <c r="AJ49" i="34"/>
  <c r="AP49" i="34"/>
  <c r="K30" i="34"/>
  <c r="AK48" i="34"/>
  <c r="I30" i="34"/>
  <c r="AJ48" i="34"/>
  <c r="AZ11" i="41"/>
  <c r="AZ39" i="41"/>
  <c r="AZ49" i="41"/>
  <c r="AZ46" i="41"/>
  <c r="AZ18" i="41"/>
  <c r="AZ15" i="41"/>
  <c r="J11" i="38"/>
  <c r="U15" i="38"/>
  <c r="U12" i="38"/>
  <c r="W12" i="38"/>
  <c r="W16" i="38"/>
  <c r="D15" i="38"/>
  <c r="D12" i="38"/>
  <c r="D14" i="38"/>
  <c r="F16" i="38"/>
  <c r="CR18" i="38"/>
  <c r="CR19" i="38"/>
  <c r="CR20" i="38"/>
  <c r="CR21" i="38"/>
  <c r="AK22" i="38"/>
  <c r="CR22" i="38"/>
  <c r="CR23" i="38"/>
  <c r="CR24" i="38"/>
  <c r="CR25" i="38"/>
  <c r="AJ20" i="38"/>
  <c r="AO20" i="38"/>
  <c r="AK20" i="38"/>
  <c r="CR26" i="38"/>
  <c r="AJ18" i="38"/>
  <c r="AO18" i="38"/>
  <c r="AK18" i="38"/>
  <c r="AJ22" i="38"/>
  <c r="CR27" i="38"/>
  <c r="CR28" i="38"/>
  <c r="AK35" i="38"/>
  <c r="CR29" i="38"/>
  <c r="CR30" i="38"/>
  <c r="CR31" i="38"/>
  <c r="AJ33" i="38"/>
  <c r="AP33" i="38"/>
  <c r="AK33" i="38"/>
  <c r="CR33" i="38"/>
  <c r="CR34" i="38"/>
  <c r="AJ35" i="38"/>
  <c r="AO35" i="38"/>
  <c r="CR35" i="38"/>
  <c r="CR36" i="38"/>
  <c r="AJ37" i="38"/>
  <c r="AK37" i="38"/>
  <c r="CR37" i="38"/>
  <c r="CR38" i="38"/>
  <c r="AJ39" i="38"/>
  <c r="AO39" i="38"/>
  <c r="AK39" i="38"/>
  <c r="CR39" i="38"/>
  <c r="CR40" i="38"/>
  <c r="CR41" i="38"/>
  <c r="CR42" i="38"/>
  <c r="CR43" i="38"/>
  <c r="AJ23" i="38"/>
  <c r="AK23" i="38"/>
  <c r="AJ29" i="38"/>
  <c r="AP29" i="38"/>
  <c r="AK29" i="38"/>
  <c r="CR44" i="38"/>
  <c r="AJ25" i="38"/>
  <c r="AK25" i="38"/>
  <c r="AJ27" i="38"/>
  <c r="AK27" i="38"/>
  <c r="CR45" i="38"/>
  <c r="AJ42" i="38"/>
  <c r="AK42" i="38"/>
  <c r="AJ44" i="38"/>
  <c r="AK44" i="38"/>
  <c r="CR46" i="38"/>
  <c r="AJ43" i="38"/>
  <c r="AK43" i="38"/>
  <c r="AJ45" i="38"/>
  <c r="AK45" i="38"/>
  <c r="CR47" i="38"/>
  <c r="AJ48" i="38"/>
  <c r="AP48" i="38"/>
  <c r="AK48" i="38"/>
  <c r="CR48" i="38"/>
  <c r="AJ49" i="38"/>
  <c r="AK49" i="38"/>
  <c r="CR49" i="38"/>
  <c r="CR50" i="38"/>
  <c r="AJ51" i="38"/>
  <c r="CR51" i="38"/>
  <c r="CR52" i="38"/>
  <c r="CR53" i="38"/>
  <c r="AJ54" i="38"/>
  <c r="AO54" i="38"/>
  <c r="AK54" i="38"/>
  <c r="CR54" i="38"/>
  <c r="AJ55" i="38"/>
  <c r="AP55" i="38"/>
  <c r="AK55" i="38"/>
  <c r="CR55" i="38"/>
  <c r="AJ19" i="38"/>
  <c r="AK19" i="38"/>
  <c r="AJ21" i="38"/>
  <c r="AK21" i="38"/>
  <c r="AJ31" i="38"/>
  <c r="AK31" i="38"/>
  <c r="AJ36" i="38"/>
  <c r="AK36" i="38"/>
  <c r="AJ34" i="38"/>
  <c r="AK34" i="38"/>
  <c r="AJ38" i="38"/>
  <c r="AK38" i="38"/>
  <c r="AJ50" i="38"/>
  <c r="AK50" i="38"/>
  <c r="AJ52" i="38"/>
  <c r="AK52" i="38"/>
  <c r="AO61" i="38"/>
  <c r="CR61" i="38"/>
  <c r="AK51" i="38"/>
  <c r="AJ53" i="38"/>
  <c r="AK53" i="38"/>
  <c r="AO62" i="38"/>
  <c r="CR62" i="38"/>
  <c r="AO63" i="38"/>
  <c r="CR63" i="38"/>
  <c r="AO64" i="38"/>
  <c r="CR64" i="38"/>
  <c r="CR65" i="38"/>
  <c r="CR66" i="38"/>
  <c r="CR67" i="38"/>
  <c r="AK68" i="38"/>
  <c r="CR68" i="38"/>
  <c r="AK69" i="38"/>
  <c r="CR69" i="38"/>
  <c r="AK70" i="38"/>
  <c r="AK71" i="38"/>
  <c r="AK72" i="38"/>
  <c r="AK73" i="38"/>
  <c r="AK74" i="38"/>
  <c r="AK75" i="38"/>
  <c r="CR75" i="38"/>
  <c r="AK76" i="38"/>
  <c r="CR76" i="38"/>
  <c r="AK77" i="38"/>
  <c r="CR77" i="38"/>
  <c r="AK78" i="38"/>
  <c r="CR78" i="38"/>
  <c r="CR65254" i="38"/>
  <c r="CR65253" i="38"/>
  <c r="CR65252" i="38"/>
  <c r="CR65251" i="38"/>
  <c r="CR65250" i="38"/>
  <c r="AK79" i="38"/>
  <c r="CR17" i="38"/>
  <c r="AK17" i="38"/>
  <c r="AJ17" i="38"/>
  <c r="CR16" i="38"/>
  <c r="AK16" i="38"/>
  <c r="AJ16" i="38"/>
  <c r="CR15" i="38"/>
  <c r="AK15" i="38"/>
  <c r="AJ15" i="38"/>
  <c r="CR14" i="38"/>
  <c r="CR13" i="38"/>
  <c r="AK13" i="38"/>
  <c r="AJ13" i="38"/>
  <c r="CR12" i="38"/>
  <c r="CR11" i="38"/>
  <c r="AK11" i="38"/>
  <c r="AJ11" i="38"/>
  <c r="AP11" i="38"/>
  <c r="CR10" i="38"/>
  <c r="AK10" i="38"/>
  <c r="AJ10" i="38"/>
  <c r="CR9" i="38"/>
  <c r="CR8" i="38"/>
  <c r="AK8" i="38"/>
  <c r="AJ8" i="38"/>
  <c r="CR7" i="38"/>
  <c r="AF4" i="38"/>
  <c r="O4" i="38"/>
  <c r="CR67" i="27"/>
  <c r="CR66" i="27"/>
  <c r="A27" i="27"/>
  <c r="A26" i="27"/>
  <c r="R12" i="27"/>
  <c r="R11" i="27"/>
  <c r="A12" i="27"/>
  <c r="AO55" i="38"/>
  <c r="AP35" i="38"/>
  <c r="AO48" i="38"/>
  <c r="AP44" i="38"/>
  <c r="AO33" i="38"/>
  <c r="AO11" i="38"/>
  <c r="AP13" i="38"/>
  <c r="AO51" i="38"/>
  <c r="AP51" i="38"/>
  <c r="AP53" i="38"/>
  <c r="AO53" i="38"/>
  <c r="AP8" i="38"/>
  <c r="AP15" i="38"/>
  <c r="AO50" i="38"/>
  <c r="AP50" i="38"/>
  <c r="AP16" i="38"/>
  <c r="AO52" i="38"/>
  <c r="AP52" i="38"/>
  <c r="AP43" i="38"/>
  <c r="AO43" i="38"/>
  <c r="AP54" i="38"/>
  <c r="AO49" i="38"/>
  <c r="AP49" i="38"/>
  <c r="AP45" i="38"/>
  <c r="AO45" i="38"/>
  <c r="AP25" i="38"/>
  <c r="AO25" i="38"/>
  <c r="AP27" i="38"/>
  <c r="AO27" i="38"/>
  <c r="AO37" i="38"/>
  <c r="AP37" i="38"/>
  <c r="AO42" i="38"/>
  <c r="AP42" i="38"/>
  <c r="AO38" i="38"/>
  <c r="AP38" i="38"/>
  <c r="AO34" i="38"/>
  <c r="AP34" i="38"/>
  <c r="AO36" i="38"/>
  <c r="AO31" i="38"/>
  <c r="AP31" i="38"/>
  <c r="AO21" i="38"/>
  <c r="AP21" i="38"/>
  <c r="AP19" i="38"/>
  <c r="AO19" i="38"/>
  <c r="AO44" i="38"/>
  <c r="AP36" i="38"/>
  <c r="AO29" i="38"/>
  <c r="AO23" i="38"/>
  <c r="AP23" i="38"/>
  <c r="AP39" i="38"/>
  <c r="AO22" i="38"/>
  <c r="AP22" i="38"/>
  <c r="AP20" i="38"/>
  <c r="AP18" i="38"/>
  <c r="AO8" i="38"/>
  <c r="D16" i="38"/>
  <c r="AO10" i="38"/>
  <c r="AO15" i="38"/>
  <c r="AO16" i="38"/>
  <c r="AP17" i="38"/>
  <c r="AO13" i="38"/>
  <c r="AP10" i="38"/>
  <c r="AO17" i="38"/>
  <c r="S59" i="1"/>
  <c r="S51" i="1"/>
  <c r="S43" i="1"/>
  <c r="S35" i="1"/>
  <c r="D59" i="1"/>
  <c r="D51" i="1"/>
  <c r="D43" i="1"/>
  <c r="T81" i="1"/>
  <c r="T80" i="1"/>
  <c r="Y81" i="1"/>
  <c r="Y80" i="1"/>
  <c r="J103" i="30"/>
  <c r="J101" i="30"/>
  <c r="B12" i="33"/>
  <c r="B52" i="31"/>
  <c r="J52" i="31"/>
  <c r="D28" i="27"/>
  <c r="D27" i="27"/>
  <c r="F29" i="27"/>
  <c r="D29" i="27"/>
  <c r="U11" i="27"/>
  <c r="U12" i="27"/>
  <c r="U15" i="27"/>
  <c r="U16" i="27"/>
  <c r="F16" i="27"/>
  <c r="F15" i="27"/>
  <c r="F14" i="27"/>
  <c r="F12" i="27"/>
  <c r="U28" i="27"/>
  <c r="W30" i="27"/>
  <c r="U30" i="27"/>
  <c r="W27" i="27"/>
  <c r="AB42" i="34"/>
  <c r="AK13" i="34"/>
  <c r="Z42" i="34"/>
  <c r="AJ13" i="34"/>
  <c r="AP13" i="34"/>
  <c r="AB45" i="34"/>
  <c r="AK27" i="34"/>
  <c r="Z46" i="34"/>
  <c r="AJ44" i="34"/>
  <c r="Z45" i="34"/>
  <c r="AJ27" i="34"/>
  <c r="AO27" i="34"/>
  <c r="AB46" i="34"/>
  <c r="AK44" i="34"/>
  <c r="Z44" i="34"/>
  <c r="AJ29" i="34"/>
  <c r="AB47" i="34"/>
  <c r="AK45" i="34"/>
  <c r="AB44" i="34"/>
  <c r="AK29" i="34"/>
  <c r="Z47" i="34"/>
  <c r="AJ45" i="34"/>
  <c r="AB43" i="34"/>
  <c r="AK11" i="34"/>
  <c r="Z43" i="34"/>
  <c r="AJ11" i="34"/>
  <c r="K42" i="34"/>
  <c r="AK10" i="34"/>
  <c r="K45" i="34"/>
  <c r="AK25" i="34"/>
  <c r="I46" i="34"/>
  <c r="AJ42" i="34"/>
  <c r="I42" i="34"/>
  <c r="AJ10" i="34"/>
  <c r="I45" i="34"/>
  <c r="AJ25" i="34"/>
  <c r="K46" i="34"/>
  <c r="AK42" i="34"/>
  <c r="I44" i="34"/>
  <c r="AJ23" i="34"/>
  <c r="K47" i="34"/>
  <c r="AK43" i="34"/>
  <c r="AX39" i="34"/>
  <c r="K44" i="34"/>
  <c r="AK23" i="34"/>
  <c r="I47" i="34"/>
  <c r="AJ43" i="34"/>
  <c r="K43" i="34"/>
  <c r="AK8" i="34"/>
  <c r="I43" i="34"/>
  <c r="AJ8" i="34"/>
  <c r="D60" i="27"/>
  <c r="F62" i="27"/>
  <c r="F58" i="27"/>
  <c r="D63" i="27"/>
  <c r="U43" i="27"/>
  <c r="W47" i="27"/>
  <c r="W43" i="27"/>
  <c r="U46" i="27"/>
  <c r="D43" i="27"/>
  <c r="F47" i="27"/>
  <c r="F43" i="27"/>
  <c r="D48" i="27"/>
  <c r="W63" i="27"/>
  <c r="W60" i="27"/>
  <c r="W61" i="27"/>
  <c r="U61" i="27"/>
  <c r="AB26" i="34"/>
  <c r="AK20" i="34"/>
  <c r="AB29" i="34"/>
  <c r="AK39" i="34"/>
  <c r="Z30" i="34"/>
  <c r="AJ54" i="34"/>
  <c r="Z26" i="34"/>
  <c r="AJ20" i="34"/>
  <c r="Z29" i="34"/>
  <c r="AJ39" i="34"/>
  <c r="AB30" i="34"/>
  <c r="AK54" i="34"/>
  <c r="Z28" i="34"/>
  <c r="AJ37" i="34"/>
  <c r="AB31" i="34"/>
  <c r="AK55" i="34"/>
  <c r="AT29" i="34"/>
  <c r="AX29" i="34"/>
  <c r="Z31" i="34"/>
  <c r="AJ55" i="34"/>
  <c r="AB27" i="34"/>
  <c r="AK22" i="34"/>
  <c r="Z27" i="34"/>
  <c r="AJ22" i="34"/>
  <c r="K26" i="34"/>
  <c r="AK16" i="34"/>
  <c r="K29" i="34"/>
  <c r="AK35" i="34"/>
  <c r="I26" i="34"/>
  <c r="AJ16" i="34"/>
  <c r="I29" i="34"/>
  <c r="AJ35" i="34"/>
  <c r="I28" i="34"/>
  <c r="AJ33" i="34"/>
  <c r="K28" i="34"/>
  <c r="AK33" i="34"/>
  <c r="K27" i="34"/>
  <c r="AK18" i="34"/>
  <c r="I27" i="34"/>
  <c r="AJ18" i="34"/>
  <c r="AB11" i="34"/>
  <c r="AK14" i="34"/>
  <c r="Z11" i="34"/>
  <c r="AJ14" i="34"/>
  <c r="AK46" i="34"/>
  <c r="AB12" i="34"/>
  <c r="AK12" i="34"/>
  <c r="Z12" i="34"/>
  <c r="AJ12" i="34"/>
  <c r="K11" i="34"/>
  <c r="AK9" i="34"/>
  <c r="AJ40" i="34"/>
  <c r="I11" i="34"/>
  <c r="AJ9" i="34"/>
  <c r="AJ41" i="34"/>
  <c r="K12" i="34"/>
  <c r="AK7" i="34"/>
  <c r="I12" i="34"/>
  <c r="AJ7" i="34"/>
  <c r="B4" i="31"/>
  <c r="B10" i="31"/>
  <c r="N344" i="35"/>
  <c r="F344" i="35"/>
  <c r="AK19" i="34"/>
  <c r="AK38" i="34"/>
  <c r="AJ52" i="34"/>
  <c r="AJ19" i="34"/>
  <c r="AJ38" i="34"/>
  <c r="AK52" i="34"/>
  <c r="AJ36" i="34"/>
  <c r="AK53" i="34"/>
  <c r="AK36" i="34"/>
  <c r="AJ53" i="34"/>
  <c r="AK21" i="34"/>
  <c r="AJ21" i="34"/>
  <c r="AK17" i="34"/>
  <c r="AK34" i="34"/>
  <c r="AJ50" i="34"/>
  <c r="AJ17" i="34"/>
  <c r="AJ34" i="34"/>
  <c r="AK50" i="34"/>
  <c r="AJ31" i="34"/>
  <c r="AK51" i="34"/>
  <c r="AK31" i="34"/>
  <c r="AJ51" i="34"/>
  <c r="AK15" i="34"/>
  <c r="AJ15" i="34"/>
  <c r="AS15" i="37"/>
  <c r="BB15" i="37"/>
  <c r="BC15" i="37"/>
  <c r="AS17" i="37"/>
  <c r="BB17" i="37"/>
  <c r="BC17" i="37"/>
  <c r="AS16" i="37"/>
  <c r="W14" i="37"/>
  <c r="AS18" i="37"/>
  <c r="BB18" i="37"/>
  <c r="BC18" i="37"/>
  <c r="AB11" i="37"/>
  <c r="AK14" i="37"/>
  <c r="AB14" i="37"/>
  <c r="AK30" i="37"/>
  <c r="Z15" i="37"/>
  <c r="AJ46" i="37"/>
  <c r="Z11" i="37"/>
  <c r="AJ14" i="37"/>
  <c r="Z14" i="37"/>
  <c r="AJ30" i="37"/>
  <c r="AB15" i="37"/>
  <c r="AK46" i="37"/>
  <c r="Z13" i="37"/>
  <c r="AJ28" i="37"/>
  <c r="AB16" i="37"/>
  <c r="AK47" i="37"/>
  <c r="AB13" i="37"/>
  <c r="AK28" i="37"/>
  <c r="Z16" i="37"/>
  <c r="AJ47" i="37"/>
  <c r="AB12" i="37"/>
  <c r="AK12" i="37"/>
  <c r="Z12" i="37"/>
  <c r="AJ12" i="37"/>
  <c r="AS8" i="37"/>
  <c r="D13" i="37"/>
  <c r="AS10" i="37"/>
  <c r="F15" i="37"/>
  <c r="AS9" i="37"/>
  <c r="F14" i="37"/>
  <c r="AS11" i="37"/>
  <c r="F12" i="37"/>
  <c r="K11" i="37"/>
  <c r="AK9" i="37"/>
  <c r="K14" i="37"/>
  <c r="AK26" i="37"/>
  <c r="I15" i="37"/>
  <c r="AJ40" i="37"/>
  <c r="I11" i="37"/>
  <c r="AJ9" i="37"/>
  <c r="I14" i="37"/>
  <c r="AJ26" i="37"/>
  <c r="K15" i="37"/>
  <c r="AK40" i="37"/>
  <c r="AP40" i="37"/>
  <c r="I13" i="37"/>
  <c r="AJ24" i="37"/>
  <c r="K16" i="37"/>
  <c r="AK41" i="37"/>
  <c r="K13" i="37"/>
  <c r="AK24" i="37"/>
  <c r="AP24" i="37"/>
  <c r="I16" i="37"/>
  <c r="AJ41" i="37"/>
  <c r="AK7" i="37"/>
  <c r="AJ7" i="37"/>
  <c r="AO7" i="37"/>
  <c r="O4" i="37"/>
  <c r="AF4" i="37"/>
  <c r="AJ55" i="37"/>
  <c r="AK20" i="37"/>
  <c r="AK37" i="37"/>
  <c r="AY29" i="37"/>
  <c r="AK55" i="37"/>
  <c r="AJ54" i="37"/>
  <c r="AK54" i="37"/>
  <c r="AO54" i="37"/>
  <c r="AP54" i="37"/>
  <c r="AJ53" i="37"/>
  <c r="AK53" i="37"/>
  <c r="AP53" i="37"/>
  <c r="AJ52" i="37"/>
  <c r="AK52" i="37"/>
  <c r="AO52" i="37"/>
  <c r="AJ51" i="37"/>
  <c r="AK51" i="37"/>
  <c r="AO51" i="37"/>
  <c r="AJ50" i="37"/>
  <c r="AK50" i="37"/>
  <c r="AO50" i="37"/>
  <c r="AJ49" i="37"/>
  <c r="AK49" i="37"/>
  <c r="AP49" i="37"/>
  <c r="AJ48" i="37"/>
  <c r="AK48" i="37"/>
  <c r="AO48" i="37"/>
  <c r="AJ45" i="37"/>
  <c r="AK45" i="37"/>
  <c r="AP45" i="37"/>
  <c r="AJ44" i="37"/>
  <c r="AK44" i="37"/>
  <c r="AO44" i="37"/>
  <c r="AJ43" i="37"/>
  <c r="AK8" i="37"/>
  <c r="AJ25" i="37"/>
  <c r="AT42" i="37"/>
  <c r="AK43" i="37"/>
  <c r="AJ42" i="37"/>
  <c r="AK42" i="37"/>
  <c r="AO42" i="37"/>
  <c r="AJ10" i="37"/>
  <c r="AY40" i="37"/>
  <c r="AJ39" i="37"/>
  <c r="AK39" i="37"/>
  <c r="AP39" i="37"/>
  <c r="AO39" i="37"/>
  <c r="AJ38" i="37"/>
  <c r="AK38" i="37"/>
  <c r="AO38" i="37"/>
  <c r="AJ37" i="37"/>
  <c r="AP37" i="37"/>
  <c r="AJ36" i="37"/>
  <c r="AK36" i="37"/>
  <c r="AO36" i="37"/>
  <c r="AJ35" i="37"/>
  <c r="AK35" i="37"/>
  <c r="AO35" i="37"/>
  <c r="AJ34" i="37"/>
  <c r="AK34" i="37"/>
  <c r="AO34" i="37"/>
  <c r="AP34" i="37"/>
  <c r="AJ33" i="37"/>
  <c r="AK33" i="37"/>
  <c r="AP33" i="37"/>
  <c r="AJ31" i="37"/>
  <c r="AK31" i="37"/>
  <c r="AO31" i="37"/>
  <c r="AJ29" i="37"/>
  <c r="AK29" i="37"/>
  <c r="AO29" i="37"/>
  <c r="AJ27" i="37"/>
  <c r="AK27" i="37"/>
  <c r="AO27" i="37"/>
  <c r="AK25" i="37"/>
  <c r="AO25" i="37"/>
  <c r="AJ23" i="37"/>
  <c r="AK23" i="37"/>
  <c r="AO23" i="37"/>
  <c r="AJ22" i="37"/>
  <c r="AK22" i="37"/>
  <c r="AP22" i="37"/>
  <c r="AO22" i="37"/>
  <c r="AJ21" i="37"/>
  <c r="AK21" i="37"/>
  <c r="AO21" i="37"/>
  <c r="AJ20" i="37"/>
  <c r="AP20" i="37"/>
  <c r="AJ19" i="37"/>
  <c r="AK19" i="37"/>
  <c r="AO19" i="37"/>
  <c r="AJ18" i="37"/>
  <c r="AX24" i="37"/>
  <c r="AK18" i="37"/>
  <c r="AJ17" i="37"/>
  <c r="AK17" i="37"/>
  <c r="AO17" i="37"/>
  <c r="AY53" i="37"/>
  <c r="AJ16" i="37"/>
  <c r="AK16" i="37"/>
  <c r="AP16" i="37"/>
  <c r="AJ15" i="37"/>
  <c r="AK15" i="37"/>
  <c r="AO15" i="37"/>
  <c r="AJ13" i="37"/>
  <c r="AK13" i="37"/>
  <c r="AO13" i="37"/>
  <c r="AJ11" i="37"/>
  <c r="AK11" i="37"/>
  <c r="AO11" i="37"/>
  <c r="AK10" i="37"/>
  <c r="AP10" i="37"/>
  <c r="AO10" i="37"/>
  <c r="AJ8" i="37"/>
  <c r="AO8" i="37"/>
  <c r="AP55" i="37"/>
  <c r="AP51" i="37"/>
  <c r="AP50" i="37"/>
  <c r="AP48" i="37"/>
  <c r="AP44" i="37"/>
  <c r="AP42" i="37"/>
  <c r="AP38" i="37"/>
  <c r="AP36" i="37"/>
  <c r="AP35" i="37"/>
  <c r="AP27" i="37"/>
  <c r="AP21" i="37"/>
  <c r="AP15" i="37"/>
  <c r="CR7" i="37"/>
  <c r="CR8" i="37"/>
  <c r="CR9" i="37"/>
  <c r="CR10" i="37"/>
  <c r="CR11" i="37"/>
  <c r="CR12" i="37"/>
  <c r="CR13" i="37"/>
  <c r="CR14" i="37"/>
  <c r="CR15" i="37"/>
  <c r="CR16" i="37"/>
  <c r="CR17" i="37"/>
  <c r="CR18" i="37"/>
  <c r="CR19" i="37"/>
  <c r="AS22" i="37"/>
  <c r="BB22" i="37"/>
  <c r="BC22" i="37"/>
  <c r="AS24" i="37"/>
  <c r="BB24" i="37"/>
  <c r="AS23" i="37"/>
  <c r="BB23" i="37"/>
  <c r="AS25" i="37"/>
  <c r="BB25" i="37"/>
  <c r="AY24" i="37"/>
  <c r="AX23" i="37"/>
  <c r="AY23" i="37"/>
  <c r="AX22" i="37"/>
  <c r="AY25" i="37"/>
  <c r="AT22" i="37"/>
  <c r="AS29" i="37"/>
  <c r="BB29" i="37"/>
  <c r="BC29" i="37"/>
  <c r="AS31" i="37"/>
  <c r="BB31" i="37"/>
  <c r="AS30" i="37"/>
  <c r="BB30" i="37"/>
  <c r="AS33" i="37"/>
  <c r="BB33" i="37"/>
  <c r="AX30" i="37"/>
  <c r="AX29" i="37"/>
  <c r="AY33" i="37"/>
  <c r="AX31" i="37"/>
  <c r="CR20" i="37"/>
  <c r="AT24" i="37"/>
  <c r="AT23" i="37"/>
  <c r="AT30" i="37"/>
  <c r="CR21" i="37"/>
  <c r="AT31" i="37"/>
  <c r="CR22" i="37"/>
  <c r="CR23" i="37"/>
  <c r="CR24" i="37"/>
  <c r="CR25" i="37"/>
  <c r="CR26" i="37"/>
  <c r="CR27" i="37"/>
  <c r="CR28" i="37"/>
  <c r="CR29" i="37"/>
  <c r="CR30" i="37"/>
  <c r="CR31" i="37"/>
  <c r="CR33" i="37"/>
  <c r="CR34" i="37"/>
  <c r="CR35" i="37"/>
  <c r="AS39" i="37"/>
  <c r="BB39" i="37"/>
  <c r="BC39" i="37"/>
  <c r="AS41" i="37"/>
  <c r="BB41" i="37"/>
  <c r="AS40" i="37"/>
  <c r="BB40" i="37"/>
  <c r="AS42" i="37"/>
  <c r="BB42" i="37"/>
  <c r="AX40" i="37"/>
  <c r="AX42" i="37"/>
  <c r="AY42" i="37"/>
  <c r="AT39" i="37"/>
  <c r="AS46" i="37"/>
  <c r="BB46" i="37"/>
  <c r="BC46" i="37"/>
  <c r="AS48" i="37"/>
  <c r="BB48" i="37"/>
  <c r="AS47" i="37"/>
  <c r="BB47" i="37"/>
  <c r="AS49" i="37"/>
  <c r="BB49" i="37"/>
  <c r="AX47" i="37"/>
  <c r="AX46" i="37"/>
  <c r="AY46" i="37"/>
  <c r="AY48" i="37"/>
  <c r="AT46" i="37"/>
  <c r="CR36" i="37"/>
  <c r="AT40" i="37"/>
  <c r="AT47" i="37"/>
  <c r="CR37" i="37"/>
  <c r="CR38" i="37"/>
  <c r="CR39" i="37"/>
  <c r="CR40" i="37"/>
  <c r="CR41" i="37"/>
  <c r="CR42" i="37"/>
  <c r="CR43" i="37"/>
  <c r="CR44" i="37"/>
  <c r="CR45" i="37"/>
  <c r="CR46" i="37"/>
  <c r="CR47" i="37"/>
  <c r="CR48" i="37"/>
  <c r="CR49" i="37"/>
  <c r="CR50" i="37"/>
  <c r="AS53" i="37"/>
  <c r="BB53" i="37"/>
  <c r="BC53" i="37"/>
  <c r="AS55" i="37"/>
  <c r="BB55" i="37"/>
  <c r="AS54" i="37"/>
  <c r="BB54" i="37"/>
  <c r="AS56" i="37"/>
  <c r="BB56" i="37"/>
  <c r="AY54" i="37"/>
  <c r="AX56" i="37"/>
  <c r="AY56" i="37"/>
  <c r="AS60" i="37"/>
  <c r="BB60" i="37"/>
  <c r="BC60" i="37"/>
  <c r="AS62" i="37"/>
  <c r="BB62" i="37"/>
  <c r="AS61" i="37"/>
  <c r="BB61" i="37"/>
  <c r="AS63" i="37"/>
  <c r="BB63" i="37"/>
  <c r="AX61" i="37"/>
  <c r="AY61" i="37"/>
  <c r="AX60" i="37"/>
  <c r="AY60" i="37"/>
  <c r="AX63" i="37"/>
  <c r="AY63" i="37"/>
  <c r="AX62" i="37"/>
  <c r="AT60" i="37"/>
  <c r="CR51" i="37"/>
  <c r="CR52" i="37"/>
  <c r="AT62" i="37"/>
  <c r="CR53" i="37"/>
  <c r="AT56" i="37"/>
  <c r="AT63" i="37"/>
  <c r="CR54" i="37"/>
  <c r="CR55" i="37"/>
  <c r="AI61" i="37"/>
  <c r="AO61" i="37"/>
  <c r="CR61" i="37"/>
  <c r="AL62" i="37"/>
  <c r="AO62" i="37"/>
  <c r="CR62" i="37"/>
  <c r="AI63" i="37"/>
  <c r="AO63" i="37"/>
  <c r="CR63" i="37"/>
  <c r="AL64" i="37"/>
  <c r="AO64" i="37"/>
  <c r="CR64" i="37"/>
  <c r="CR65250" i="37"/>
  <c r="CR65251" i="37"/>
  <c r="CR65252" i="37"/>
  <c r="CR65253" i="37"/>
  <c r="CR65254" i="37"/>
  <c r="J54" i="31"/>
  <c r="B23" i="31"/>
  <c r="J47" i="31"/>
  <c r="B54" i="31"/>
  <c r="B56" i="31"/>
  <c r="J56" i="31"/>
  <c r="N2" i="35"/>
  <c r="B16" i="35"/>
  <c r="B10" i="35"/>
  <c r="B46" i="35"/>
  <c r="F14" i="35"/>
  <c r="N14" i="35"/>
  <c r="F26" i="35"/>
  <c r="N26" i="35"/>
  <c r="N38" i="35"/>
  <c r="F50" i="35"/>
  <c r="N50" i="35"/>
  <c r="B58" i="35"/>
  <c r="B94" i="35"/>
  <c r="B105" i="35"/>
  <c r="N74" i="35"/>
  <c r="B88" i="35"/>
  <c r="B99" i="35"/>
  <c r="J99" i="35"/>
  <c r="F86" i="35"/>
  <c r="F97" i="35"/>
  <c r="N97" i="35"/>
  <c r="N86" i="35"/>
  <c r="N109" i="35"/>
  <c r="J111" i="35"/>
  <c r="F121" i="35"/>
  <c r="N133" i="35"/>
  <c r="N121" i="35"/>
  <c r="F133" i="35"/>
  <c r="N144" i="35"/>
  <c r="B170" i="35"/>
  <c r="F156" i="35"/>
  <c r="N156" i="35"/>
  <c r="F168" i="35"/>
  <c r="N168" i="35"/>
  <c r="N180" i="35"/>
  <c r="F191" i="35"/>
  <c r="N203" i="35"/>
  <c r="N191" i="35"/>
  <c r="F203" i="35"/>
  <c r="N215" i="35"/>
  <c r="J229" i="35"/>
  <c r="F227" i="35"/>
  <c r="N227" i="35"/>
  <c r="F238" i="35"/>
  <c r="N238" i="35"/>
  <c r="N250" i="35"/>
  <c r="J252" i="35"/>
  <c r="F262" i="35"/>
  <c r="N262" i="35"/>
  <c r="F274" i="35"/>
  <c r="N274" i="35"/>
  <c r="N285" i="35"/>
  <c r="B311" i="35"/>
  <c r="F297" i="35"/>
  <c r="N297" i="35"/>
  <c r="F309" i="35"/>
  <c r="N309" i="35"/>
  <c r="E28" i="1"/>
  <c r="E29" i="1"/>
  <c r="J28" i="1"/>
  <c r="B10" i="30"/>
  <c r="B46" i="30"/>
  <c r="E30" i="1"/>
  <c r="E31" i="1"/>
  <c r="J30" i="1"/>
  <c r="E32" i="1"/>
  <c r="J32" i="1"/>
  <c r="N38" i="30"/>
  <c r="E36" i="1"/>
  <c r="B42" i="30"/>
  <c r="E37" i="1"/>
  <c r="J42" i="30"/>
  <c r="J36" i="1"/>
  <c r="B44" i="30"/>
  <c r="J44" i="30"/>
  <c r="B50" i="30"/>
  <c r="B74" i="30"/>
  <c r="N50" i="30"/>
  <c r="E38" i="1"/>
  <c r="B54" i="30"/>
  <c r="E39" i="1"/>
  <c r="J54" i="30"/>
  <c r="J38" i="1"/>
  <c r="B56" i="30"/>
  <c r="J56" i="30"/>
  <c r="B58" i="30"/>
  <c r="B82" i="30"/>
  <c r="F62" i="30"/>
  <c r="N62" i="30"/>
  <c r="E33" i="1"/>
  <c r="N74" i="30"/>
  <c r="J76" i="30"/>
  <c r="E40" i="1"/>
  <c r="B66" i="30"/>
  <c r="E41" i="1"/>
  <c r="J66" i="30"/>
  <c r="J40" i="1"/>
  <c r="B68" i="30"/>
  <c r="J68" i="30"/>
  <c r="F86" i="30"/>
  <c r="N86" i="30"/>
  <c r="E44" i="1"/>
  <c r="B78" i="30"/>
  <c r="E45" i="1"/>
  <c r="J78" i="30"/>
  <c r="J44" i="1"/>
  <c r="B80" i="30"/>
  <c r="J80" i="30"/>
  <c r="B97" i="30"/>
  <c r="B109" i="30"/>
  <c r="N97" i="30"/>
  <c r="E46" i="1"/>
  <c r="B90" i="30"/>
  <c r="J46" i="1"/>
  <c r="B92" i="30"/>
  <c r="N109" i="30"/>
  <c r="E48" i="1"/>
  <c r="AG63" i="1"/>
  <c r="J48" i="1"/>
  <c r="AL63" i="1"/>
  <c r="F121" i="30"/>
  <c r="N121" i="30"/>
  <c r="E54" i="1"/>
  <c r="AG65" i="1"/>
  <c r="J54" i="1"/>
  <c r="AL65" i="1"/>
  <c r="F133" i="30"/>
  <c r="N133" i="30"/>
  <c r="E47" i="1"/>
  <c r="J90" i="30"/>
  <c r="J92" i="30"/>
  <c r="B144" i="30"/>
  <c r="B156" i="30"/>
  <c r="N144" i="30"/>
  <c r="J158" i="30"/>
  <c r="E62" i="1"/>
  <c r="J62" i="1"/>
  <c r="F156" i="30"/>
  <c r="N156" i="30"/>
  <c r="E64" i="1"/>
  <c r="J64" i="1"/>
  <c r="F168" i="30"/>
  <c r="N168" i="30"/>
  <c r="E56" i="1"/>
  <c r="B137" i="30"/>
  <c r="J56" i="1"/>
  <c r="B139" i="30"/>
  <c r="N180" i="30"/>
  <c r="B193" i="30"/>
  <c r="B205" i="30"/>
  <c r="AG69" i="1"/>
  <c r="AG70" i="1"/>
  <c r="AL69" i="1"/>
  <c r="AL70" i="1"/>
  <c r="B191" i="30"/>
  <c r="B227" i="30"/>
  <c r="F191" i="30"/>
  <c r="F203" i="30"/>
  <c r="AG67" i="1"/>
  <c r="AL67" i="1"/>
  <c r="N215" i="30"/>
  <c r="B229" i="30"/>
  <c r="F227" i="30"/>
  <c r="N227" i="30"/>
  <c r="B238" i="30"/>
  <c r="J238" i="30"/>
  <c r="F238" i="30"/>
  <c r="N238" i="30"/>
  <c r="B252" i="30"/>
  <c r="B276" i="30"/>
  <c r="B285" i="30"/>
  <c r="J285" i="30"/>
  <c r="B287" i="30"/>
  <c r="J287" i="30"/>
  <c r="F309" i="30"/>
  <c r="N309" i="30"/>
  <c r="B332" i="30"/>
  <c r="B344" i="30"/>
  <c r="N332" i="30"/>
  <c r="F344" i="30"/>
  <c r="N344" i="30"/>
  <c r="B5" i="33"/>
  <c r="B6" i="33"/>
  <c r="B7" i="33"/>
  <c r="B8" i="33"/>
  <c r="B9" i="33"/>
  <c r="B10" i="33"/>
  <c r="B11" i="33"/>
  <c r="B13" i="33"/>
  <c r="B14" i="33"/>
  <c r="O4" i="34"/>
  <c r="AF4" i="34"/>
  <c r="CR7" i="34"/>
  <c r="CR8" i="34"/>
  <c r="CR9" i="34"/>
  <c r="CR10" i="34"/>
  <c r="CR11" i="34"/>
  <c r="CR12" i="34"/>
  <c r="CR13" i="34"/>
  <c r="CR14" i="34"/>
  <c r="CR15" i="34"/>
  <c r="CR16" i="34"/>
  <c r="CR17" i="34"/>
  <c r="CR18" i="34"/>
  <c r="O19" i="34"/>
  <c r="AF19" i="34"/>
  <c r="CR19" i="34"/>
  <c r="CR20" i="34"/>
  <c r="CR21" i="34"/>
  <c r="CR22" i="34"/>
  <c r="CR23" i="34"/>
  <c r="CR24" i="34"/>
  <c r="CR25" i="34"/>
  <c r="CR26" i="34"/>
  <c r="CR27" i="34"/>
  <c r="CR28" i="34"/>
  <c r="CR29" i="34"/>
  <c r="CR30" i="34"/>
  <c r="CR31" i="34"/>
  <c r="CR33" i="34"/>
  <c r="CR34" i="34"/>
  <c r="O35" i="34"/>
  <c r="AF35" i="34"/>
  <c r="CR35" i="34"/>
  <c r="CR36" i="34"/>
  <c r="CR37" i="34"/>
  <c r="CR38" i="34"/>
  <c r="CR39" i="34"/>
  <c r="CR40" i="34"/>
  <c r="CR41" i="34"/>
  <c r="CR42" i="34"/>
  <c r="CR43" i="34"/>
  <c r="CR44" i="34"/>
  <c r="CR45" i="34"/>
  <c r="CR46" i="34"/>
  <c r="CR47" i="34"/>
  <c r="CR48" i="34"/>
  <c r="CR49" i="34"/>
  <c r="CR50" i="34"/>
  <c r="CR51" i="34"/>
  <c r="CR52" i="34"/>
  <c r="CR53" i="34"/>
  <c r="CR54" i="34"/>
  <c r="CR55" i="34"/>
  <c r="AO61" i="34"/>
  <c r="CR61" i="34"/>
  <c r="AO62" i="34"/>
  <c r="CR62" i="34"/>
  <c r="AO63" i="34"/>
  <c r="CR63" i="34"/>
  <c r="AO64" i="34"/>
  <c r="CR64" i="34"/>
  <c r="CR65250" i="34"/>
  <c r="CR65251" i="34"/>
  <c r="CR65252" i="34"/>
  <c r="CR65253" i="34"/>
  <c r="CR65254" i="34"/>
  <c r="O4" i="27"/>
  <c r="AF4" i="27"/>
  <c r="CR7" i="27"/>
  <c r="CR8" i="27"/>
  <c r="CR9" i="27"/>
  <c r="CR10" i="27"/>
  <c r="CR11" i="27"/>
  <c r="CR12" i="27"/>
  <c r="CR13" i="27"/>
  <c r="CR14" i="27"/>
  <c r="CR15" i="27"/>
  <c r="CR16" i="27"/>
  <c r="CR17" i="27"/>
  <c r="CR18" i="27"/>
  <c r="O19" i="27"/>
  <c r="AF19" i="27"/>
  <c r="CR19" i="27"/>
  <c r="CR20" i="27"/>
  <c r="CR21" i="27"/>
  <c r="CR22" i="27"/>
  <c r="CR23" i="27"/>
  <c r="CR24" i="27"/>
  <c r="CR25" i="27"/>
  <c r="CR26" i="27"/>
  <c r="CR27" i="27"/>
  <c r="CR28" i="27"/>
  <c r="CR29" i="27"/>
  <c r="CR30" i="27"/>
  <c r="CR31" i="27"/>
  <c r="CR34" i="27"/>
  <c r="CR35" i="27"/>
  <c r="O36" i="27"/>
  <c r="AF36" i="27"/>
  <c r="CR36" i="27"/>
  <c r="CR37" i="27"/>
  <c r="CR38" i="27"/>
  <c r="CR39" i="27"/>
  <c r="CR40" i="27"/>
  <c r="CR41" i="27"/>
  <c r="CR42" i="27"/>
  <c r="CR43" i="27"/>
  <c r="CR44" i="27"/>
  <c r="CR45" i="27"/>
  <c r="CR46" i="27"/>
  <c r="CR47" i="27"/>
  <c r="CR48" i="27"/>
  <c r="CR49" i="27"/>
  <c r="CR50" i="27"/>
  <c r="O51" i="27"/>
  <c r="AF51" i="27"/>
  <c r="CR51" i="27"/>
  <c r="CR52" i="27"/>
  <c r="CR53" i="27"/>
  <c r="CR54" i="27"/>
  <c r="CR55" i="27"/>
  <c r="CR56" i="27"/>
  <c r="AO62" i="27"/>
  <c r="CR62" i="27"/>
  <c r="AO63" i="27"/>
  <c r="CR63" i="27"/>
  <c r="AO64" i="27"/>
  <c r="CR64" i="27"/>
  <c r="AO65" i="27"/>
  <c r="CR65" i="27"/>
  <c r="CR65251" i="27"/>
  <c r="CR65252" i="27"/>
  <c r="CR65253" i="27"/>
  <c r="CR65254" i="27"/>
  <c r="CR65255" i="27"/>
  <c r="F62" i="35"/>
  <c r="N62" i="35"/>
  <c r="AO53" i="34"/>
  <c r="AP53" i="34"/>
  <c r="AP38" i="34"/>
  <c r="AO21" i="34"/>
  <c r="AT63" i="34"/>
  <c r="AY61" i="34"/>
  <c r="AO50" i="34"/>
  <c r="AP50" i="34"/>
  <c r="AO38" i="34"/>
  <c r="AX62" i="34"/>
  <c r="AP43" i="34"/>
  <c r="AO44" i="34"/>
  <c r="AT60" i="34"/>
  <c r="AP19" i="34"/>
  <c r="AO19" i="34"/>
  <c r="AT61" i="34"/>
  <c r="AP15" i="34"/>
  <c r="AO52" i="34"/>
  <c r="AP52" i="34"/>
  <c r="AP21" i="34"/>
  <c r="AO45" i="34"/>
  <c r="AO17" i="34"/>
  <c r="AY56" i="34"/>
  <c r="AP34" i="34"/>
  <c r="AO34" i="34"/>
  <c r="AT55" i="34"/>
  <c r="AT54" i="34"/>
  <c r="AT62" i="34"/>
  <c r="AO36" i="34"/>
  <c r="AP36" i="34"/>
  <c r="AX60" i="34"/>
  <c r="AY63" i="34"/>
  <c r="AO51" i="34"/>
  <c r="AP51" i="34"/>
  <c r="AX56" i="34"/>
  <c r="AZ56" i="34"/>
  <c r="AP44" i="34"/>
  <c r="AP17" i="34"/>
  <c r="AT56" i="34"/>
  <c r="AO15" i="34"/>
  <c r="AY53" i="34"/>
  <c r="AX41" i="34"/>
  <c r="AT61" i="37"/>
  <c r="AY62" i="37"/>
  <c r="AT53" i="37"/>
  <c r="AX54" i="37"/>
  <c r="AT48" i="37"/>
  <c r="AX48" i="37"/>
  <c r="AZ48" i="37"/>
  <c r="AY41" i="37"/>
  <c r="AY39" i="37"/>
  <c r="AT33" i="37"/>
  <c r="AY30" i="37"/>
  <c r="AZ30" i="37"/>
  <c r="AX25" i="37"/>
  <c r="AZ25" i="37"/>
  <c r="AP17" i="37"/>
  <c r="AP29" i="37"/>
  <c r="AP43" i="37"/>
  <c r="AT54" i="37"/>
  <c r="AY55" i="37"/>
  <c r="AT49" i="37"/>
  <c r="AT41" i="37"/>
  <c r="AY49" i="37"/>
  <c r="AY47" i="37"/>
  <c r="AX41" i="37"/>
  <c r="AZ41" i="37"/>
  <c r="AX39" i="37"/>
  <c r="AT25" i="37"/>
  <c r="AT29" i="37"/>
  <c r="AX33" i="37"/>
  <c r="AZ33" i="37"/>
  <c r="AY22" i="37"/>
  <c r="AZ22" i="37"/>
  <c r="AP11" i="37"/>
  <c r="AP18" i="37"/>
  <c r="AP23" i="37"/>
  <c r="AP31" i="37"/>
  <c r="AP52" i="37"/>
  <c r="AO18" i="37"/>
  <c r="AO43" i="37"/>
  <c r="AO55" i="37"/>
  <c r="AT55" i="37"/>
  <c r="AX55" i="37"/>
  <c r="AZ55" i="37"/>
  <c r="AX53" i="37"/>
  <c r="AZ53" i="37"/>
  <c r="AX49" i="37"/>
  <c r="AY31" i="37"/>
  <c r="AZ31" i="37"/>
  <c r="AP13" i="37"/>
  <c r="AP19" i="37"/>
  <c r="AP25" i="37"/>
  <c r="AP8" i="37"/>
  <c r="D44" i="27"/>
  <c r="AZ40" i="37"/>
  <c r="AZ29" i="37"/>
  <c r="D15" i="37"/>
  <c r="F11" i="37"/>
  <c r="U59" i="27"/>
  <c r="D14" i="37"/>
  <c r="D16" i="37"/>
  <c r="AZ61" i="37"/>
  <c r="B240" i="30"/>
  <c r="AZ23" i="37"/>
  <c r="J28" i="35"/>
  <c r="B28" i="35"/>
  <c r="J4" i="35"/>
  <c r="J287" i="35"/>
  <c r="J16" i="35"/>
  <c r="J217" i="30"/>
  <c r="B47" i="31"/>
  <c r="B58" i="31"/>
  <c r="J58" i="31"/>
  <c r="B82" i="35"/>
  <c r="J58" i="35"/>
  <c r="J240" i="35"/>
  <c r="B229" i="35"/>
  <c r="B299" i="30"/>
  <c r="J203" i="30"/>
  <c r="J191" i="30"/>
  <c r="J38" i="30"/>
  <c r="J217" i="35"/>
  <c r="B158" i="35"/>
  <c r="B135" i="35"/>
  <c r="J240" i="30"/>
  <c r="B215" i="30"/>
  <c r="J182" i="30"/>
  <c r="B276" i="35"/>
  <c r="J88" i="35"/>
  <c r="B35" i="31"/>
  <c r="J252" i="30"/>
  <c r="J227" i="30"/>
  <c r="J135" i="35"/>
  <c r="B123" i="35"/>
  <c r="J123" i="35"/>
  <c r="J76" i="35"/>
  <c r="J311" i="30"/>
  <c r="J276" i="30"/>
  <c r="J229" i="30"/>
  <c r="J311" i="35"/>
  <c r="J299" i="35"/>
  <c r="J344" i="30"/>
  <c r="B311" i="30"/>
  <c r="J299" i="30"/>
  <c r="J215" i="30"/>
  <c r="B203" i="30"/>
  <c r="B158" i="30"/>
  <c r="J146" i="30"/>
  <c r="B88" i="30"/>
  <c r="B99" i="30"/>
  <c r="J99" i="30"/>
  <c r="B299" i="35"/>
  <c r="B240" i="35"/>
  <c r="B264" i="30"/>
  <c r="J264" i="30"/>
  <c r="J46" i="35"/>
  <c r="J170" i="30"/>
  <c r="J34" i="30"/>
  <c r="J264" i="35"/>
  <c r="J146" i="35"/>
  <c r="J158" i="35"/>
  <c r="J170" i="35"/>
  <c r="B70" i="35"/>
  <c r="J82" i="35"/>
  <c r="J94" i="35"/>
  <c r="J70" i="35"/>
  <c r="N191" i="30"/>
  <c r="N203" i="30"/>
  <c r="AY55" i="34"/>
  <c r="AT53" i="34"/>
  <c r="AX53" i="34"/>
  <c r="AZ53" i="34"/>
  <c r="AO31" i="34"/>
  <c r="AP31" i="34"/>
  <c r="J332" i="30"/>
  <c r="B321" i="30"/>
  <c r="B170" i="30"/>
  <c r="J156" i="30"/>
  <c r="J276" i="35"/>
  <c r="B264" i="35"/>
  <c r="B38" i="30"/>
  <c r="AT8" i="37"/>
  <c r="AO40" i="37"/>
  <c r="AY54" i="34"/>
  <c r="AY10" i="37"/>
  <c r="AX54" i="34"/>
  <c r="AZ54" i="34"/>
  <c r="AX61" i="34"/>
  <c r="AZ61" i="34"/>
  <c r="AY60" i="34"/>
  <c r="AO16" i="37"/>
  <c r="AO20" i="37"/>
  <c r="AO33" i="37"/>
  <c r="AO37" i="37"/>
  <c r="AO45" i="37"/>
  <c r="AO49" i="37"/>
  <c r="AO53" i="37"/>
  <c r="AX55" i="34"/>
  <c r="AY62" i="34"/>
  <c r="AZ62" i="34"/>
  <c r="AX63" i="34"/>
  <c r="AZ63" i="34"/>
  <c r="AT39" i="34"/>
  <c r="AZ60" i="34"/>
  <c r="AZ39" i="37"/>
  <c r="AZ49" i="37"/>
  <c r="CH53" i="38"/>
  <c r="CH54" i="38"/>
  <c r="CH55" i="38"/>
  <c r="AI61" i="41"/>
  <c r="AI62" i="41"/>
  <c r="CH56" i="38"/>
  <c r="CL56" i="38"/>
  <c r="CJ55" i="38"/>
  <c r="CN55" i="38"/>
  <c r="CK55" i="38"/>
  <c r="CO55" i="38"/>
  <c r="CL55" i="38"/>
  <c r="CP55" i="38"/>
  <c r="CI55" i="38"/>
  <c r="CM55" i="38"/>
  <c r="CI54" i="38"/>
  <c r="CM54" i="38"/>
  <c r="CJ54" i="38"/>
  <c r="CN54" i="38"/>
  <c r="CK54" i="38"/>
  <c r="CO54" i="38"/>
  <c r="CL54" i="38"/>
  <c r="CP54" i="38"/>
  <c r="CH24" i="38"/>
  <c r="CH42" i="38"/>
  <c r="CH41" i="38"/>
  <c r="CH23" i="38"/>
  <c r="CH39" i="38"/>
  <c r="CH22" i="38"/>
  <c r="CJ53" i="38"/>
  <c r="CN53" i="38"/>
  <c r="CK53" i="38"/>
  <c r="CO53" i="38"/>
  <c r="CL53" i="38"/>
  <c r="CP53" i="38"/>
  <c r="CI53" i="38"/>
  <c r="CM53" i="38"/>
  <c r="CH25" i="38"/>
  <c r="CO56" i="38"/>
  <c r="CP56" i="38"/>
  <c r="CM56" i="38"/>
  <c r="CN56" i="38"/>
  <c r="CH40" i="38"/>
  <c r="CI56" i="38"/>
  <c r="CK56" i="38"/>
  <c r="CJ56" i="38"/>
  <c r="AL62" i="41"/>
  <c r="AI64" i="41"/>
  <c r="AL61" i="41"/>
  <c r="CK40" i="38"/>
  <c r="CO40" i="38"/>
  <c r="CL40" i="38"/>
  <c r="CP40" i="38"/>
  <c r="CI40" i="38"/>
  <c r="CM40" i="38"/>
  <c r="CJ40" i="38"/>
  <c r="CN40" i="38"/>
  <c r="CH30" i="38"/>
  <c r="CH68" i="38"/>
  <c r="CH33" i="38"/>
  <c r="CI22" i="38"/>
  <c r="CM22" i="38"/>
  <c r="CJ22" i="38"/>
  <c r="CN22" i="38"/>
  <c r="CK22" i="38"/>
  <c r="CO22" i="38"/>
  <c r="CL22" i="38"/>
  <c r="CP22" i="38"/>
  <c r="CH70" i="38"/>
  <c r="CH29" i="38"/>
  <c r="CJ39" i="38"/>
  <c r="CN39" i="38"/>
  <c r="CK39" i="38"/>
  <c r="CO39" i="38"/>
  <c r="CL39" i="38"/>
  <c r="CP39" i="38"/>
  <c r="CI39" i="38"/>
  <c r="AI61" i="38"/>
  <c r="CM39" i="38"/>
  <c r="CH46" i="38"/>
  <c r="CH67" i="38"/>
  <c r="CJ25" i="38"/>
  <c r="CN25" i="38"/>
  <c r="CL25" i="38"/>
  <c r="CP25" i="38"/>
  <c r="CK25" i="38"/>
  <c r="CM25" i="38"/>
  <c r="CO25" i="38"/>
  <c r="CI25" i="38"/>
  <c r="CL41" i="38"/>
  <c r="CP41" i="38"/>
  <c r="CI41" i="38"/>
  <c r="CM41" i="38"/>
  <c r="CJ41" i="38"/>
  <c r="CN41" i="38"/>
  <c r="CK41" i="38"/>
  <c r="CO41" i="38"/>
  <c r="CI42" i="38"/>
  <c r="CM42" i="38"/>
  <c r="CK42" i="38"/>
  <c r="CO42" i="38"/>
  <c r="CJ42" i="38"/>
  <c r="CL42" i="38"/>
  <c r="CN42" i="38"/>
  <c r="CP42" i="38"/>
  <c r="CI24" i="38"/>
  <c r="CM24" i="38"/>
  <c r="CJ24" i="38"/>
  <c r="CN24" i="38"/>
  <c r="CK24" i="38"/>
  <c r="CO24" i="38"/>
  <c r="CP24" i="38"/>
  <c r="CL24" i="38"/>
  <c r="CH49" i="38"/>
  <c r="CH31" i="38"/>
  <c r="CH69" i="38"/>
  <c r="CL23" i="38"/>
  <c r="CP23" i="38"/>
  <c r="CI23" i="38"/>
  <c r="CM23" i="38"/>
  <c r="CJ23" i="38"/>
  <c r="CN23" i="38"/>
  <c r="CO23" i="38"/>
  <c r="CK23" i="38"/>
  <c r="CH47" i="38"/>
  <c r="CH63" i="38"/>
  <c r="CL49" i="38"/>
  <c r="CP49" i="38"/>
  <c r="CI49" i="38"/>
  <c r="CM49" i="38"/>
  <c r="CJ49" i="38"/>
  <c r="CN49" i="38"/>
  <c r="CK49" i="38"/>
  <c r="CO49" i="38"/>
  <c r="CH61" i="38"/>
  <c r="CJ33" i="38"/>
  <c r="CN33" i="38"/>
  <c r="CL33" i="38"/>
  <c r="CP33" i="38"/>
  <c r="CK33" i="38"/>
  <c r="CM33" i="38"/>
  <c r="CO33" i="38"/>
  <c r="CI33" i="38"/>
  <c r="CH75" i="38"/>
  <c r="CL30" i="38"/>
  <c r="CP30" i="38"/>
  <c r="CI30" i="38"/>
  <c r="CM30" i="38"/>
  <c r="CJ30" i="38"/>
  <c r="CN30" i="38"/>
  <c r="CK30" i="38"/>
  <c r="CO30" i="38"/>
  <c r="AL64" i="38"/>
  <c r="CH48" i="38"/>
  <c r="CI69" i="38"/>
  <c r="CM69" i="38"/>
  <c r="CJ69" i="38"/>
  <c r="CN69" i="38"/>
  <c r="CK69" i="38"/>
  <c r="CO69" i="38"/>
  <c r="CL69" i="38"/>
  <c r="CP69" i="38"/>
  <c r="CI31" i="38"/>
  <c r="CM31" i="38"/>
  <c r="CK31" i="38"/>
  <c r="CO31" i="38"/>
  <c r="CJ31" i="38"/>
  <c r="CL31" i="38"/>
  <c r="CN31" i="38"/>
  <c r="CP31" i="38"/>
  <c r="CI67" i="38"/>
  <c r="CM67" i="38"/>
  <c r="CJ67" i="38"/>
  <c r="CN67" i="38"/>
  <c r="CK67" i="38"/>
  <c r="CO67" i="38"/>
  <c r="CP67" i="38"/>
  <c r="CL67" i="38"/>
  <c r="CK29" i="38"/>
  <c r="CO29" i="38"/>
  <c r="CL29" i="38"/>
  <c r="CP29" i="38"/>
  <c r="CI29" i="38"/>
  <c r="CM29" i="38"/>
  <c r="CJ29" i="38"/>
  <c r="CN29" i="38"/>
  <c r="CK68" i="38"/>
  <c r="CO68" i="38"/>
  <c r="CL68" i="38"/>
  <c r="CP68" i="38"/>
  <c r="CI68" i="38"/>
  <c r="CM68" i="38"/>
  <c r="CN68" i="38"/>
  <c r="CJ68" i="38"/>
  <c r="CK46" i="38"/>
  <c r="CO46" i="38"/>
  <c r="CI46" i="38"/>
  <c r="CM46" i="38"/>
  <c r="CP46" i="38"/>
  <c r="CJ46" i="38"/>
  <c r="CL46" i="38"/>
  <c r="CN46" i="38"/>
  <c r="CH74" i="38"/>
  <c r="CH60" i="38"/>
  <c r="CI70" i="38"/>
  <c r="CM70" i="38"/>
  <c r="CJ70" i="38"/>
  <c r="CN70" i="38"/>
  <c r="CK70" i="38"/>
  <c r="CO70" i="38"/>
  <c r="CL70" i="38"/>
  <c r="CP70" i="38"/>
  <c r="CH62" i="38"/>
  <c r="CH76" i="38"/>
  <c r="CH77" i="38"/>
  <c r="AI63" i="38"/>
  <c r="CL75" i="38"/>
  <c r="CP75" i="38"/>
  <c r="CI75" i="38"/>
  <c r="CM75" i="38"/>
  <c r="CJ75" i="38"/>
  <c r="CN75" i="38"/>
  <c r="CO75" i="38"/>
  <c r="CK75" i="38"/>
  <c r="CL77" i="38"/>
  <c r="CP77" i="38"/>
  <c r="CJ77" i="38"/>
  <c r="CN77" i="38"/>
  <c r="CK77" i="38"/>
  <c r="CM77" i="38"/>
  <c r="CO77" i="38"/>
  <c r="CI77" i="38"/>
  <c r="CL76" i="38"/>
  <c r="CP76" i="38"/>
  <c r="CI76" i="38"/>
  <c r="CM76" i="38"/>
  <c r="CJ76" i="38"/>
  <c r="CN76" i="38"/>
  <c r="CK76" i="38"/>
  <c r="CO76" i="38"/>
  <c r="CK74" i="38"/>
  <c r="CO74" i="38"/>
  <c r="CL74" i="38"/>
  <c r="CP74" i="38"/>
  <c r="CI74" i="38"/>
  <c r="CM74" i="38"/>
  <c r="CJ74" i="38"/>
  <c r="CN74" i="38"/>
  <c r="CK48" i="38"/>
  <c r="CO48" i="38"/>
  <c r="CL48" i="38"/>
  <c r="CP48" i="38"/>
  <c r="CI48" i="38"/>
  <c r="CM48" i="38"/>
  <c r="CJ48" i="38"/>
  <c r="CN48" i="38"/>
  <c r="CL61" i="38"/>
  <c r="CP61" i="38"/>
  <c r="CJ61" i="38"/>
  <c r="CN61" i="38"/>
  <c r="CO61" i="38"/>
  <c r="CI61" i="38"/>
  <c r="CK61" i="38"/>
  <c r="CM61" i="38"/>
  <c r="CJ47" i="38"/>
  <c r="CN47" i="38"/>
  <c r="CK47" i="38"/>
  <c r="CO47" i="38"/>
  <c r="CL47" i="38"/>
  <c r="CP47" i="38"/>
  <c r="CM47" i="38"/>
  <c r="CI47" i="38"/>
  <c r="AL62" i="38"/>
  <c r="CJ62" i="38"/>
  <c r="CN62" i="38"/>
  <c r="CK62" i="38"/>
  <c r="CO62" i="38"/>
  <c r="CL62" i="38"/>
  <c r="CP62" i="38"/>
  <c r="CI62" i="38"/>
  <c r="CM62" i="38"/>
  <c r="CI60" i="38"/>
  <c r="CM60" i="38"/>
  <c r="CJ60" i="38"/>
  <c r="CN60" i="38"/>
  <c r="CK60" i="38"/>
  <c r="CO60" i="38"/>
  <c r="CP60" i="38"/>
  <c r="CL60" i="38"/>
  <c r="CL63" i="38"/>
  <c r="CP63" i="38"/>
  <c r="CI63" i="38"/>
  <c r="CM63" i="38"/>
  <c r="CJ63" i="38"/>
  <c r="CN63" i="38"/>
  <c r="CK63" i="38"/>
  <c r="CO63" i="38"/>
  <c r="AS33" i="34"/>
  <c r="U31" i="34"/>
  <c r="AS18" i="34"/>
  <c r="U14" i="34"/>
  <c r="AS53" i="34"/>
  <c r="AS11" i="34"/>
  <c r="F12" i="34"/>
  <c r="AS61" i="34"/>
  <c r="J336" i="35"/>
  <c r="B350" i="35"/>
  <c r="W27" i="34"/>
  <c r="U29" i="34"/>
  <c r="AS42" i="34"/>
  <c r="D47" i="34"/>
  <c r="AS60" i="34"/>
  <c r="AL64" i="41"/>
  <c r="AI63" i="41"/>
  <c r="AL63" i="41"/>
  <c r="F13" i="37"/>
  <c r="AO13" i="34"/>
  <c r="AT11" i="37"/>
  <c r="AX9" i="37"/>
  <c r="AO41" i="34"/>
  <c r="AP30" i="34"/>
  <c r="AP45" i="34"/>
  <c r="AT16" i="34"/>
  <c r="D13" i="41"/>
  <c r="W29" i="41"/>
  <c r="AX55" i="41"/>
  <c r="D12" i="37"/>
  <c r="AP41" i="37"/>
  <c r="AX25" i="34"/>
  <c r="AO54" i="34"/>
  <c r="AO23" i="34"/>
  <c r="W26" i="41"/>
  <c r="D45" i="34"/>
  <c r="AO49" i="34"/>
  <c r="AO37" i="41"/>
  <c r="AX56" i="41"/>
  <c r="AO15" i="41"/>
  <c r="AT8" i="34"/>
  <c r="AX8" i="34"/>
  <c r="AO28" i="34"/>
  <c r="AX15" i="34"/>
  <c r="AY23" i="34"/>
  <c r="W11" i="41"/>
  <c r="AY24" i="41"/>
  <c r="AY60" i="41"/>
  <c r="AP53" i="41"/>
  <c r="AO41" i="37"/>
  <c r="AY11" i="37"/>
  <c r="AO43" i="34"/>
  <c r="AP54" i="34"/>
  <c r="U13" i="41"/>
  <c r="F31" i="41"/>
  <c r="AY62" i="41"/>
  <c r="AP41" i="34"/>
  <c r="AP26" i="37"/>
  <c r="F16" i="37"/>
  <c r="AY10" i="34"/>
  <c r="AO26" i="34"/>
  <c r="AT9" i="34"/>
  <c r="AT25" i="34"/>
  <c r="AP39" i="34"/>
  <c r="AT30" i="34"/>
  <c r="AO25" i="34"/>
  <c r="AY49" i="34"/>
  <c r="AO48" i="34"/>
  <c r="U28" i="41"/>
  <c r="D11" i="41"/>
  <c r="AP36" i="41"/>
  <c r="AO42" i="34"/>
  <c r="AP42" i="34"/>
  <c r="AO11" i="34"/>
  <c r="AP11" i="34"/>
  <c r="AX49" i="34"/>
  <c r="AT49" i="34"/>
  <c r="AP29" i="34"/>
  <c r="AO29" i="34"/>
  <c r="AT46" i="34"/>
  <c r="AX46" i="34"/>
  <c r="AP21" i="41"/>
  <c r="AP52" i="41"/>
  <c r="AO52" i="41"/>
  <c r="AY25" i="34"/>
  <c r="AZ25" i="34"/>
  <c r="AT24" i="34"/>
  <c r="AP35" i="34"/>
  <c r="AO35" i="34"/>
  <c r="AO55" i="34"/>
  <c r="AP55" i="34"/>
  <c r="AY46" i="34"/>
  <c r="AX48" i="34"/>
  <c r="AO40" i="34"/>
  <c r="AP40" i="34"/>
  <c r="AT23" i="34"/>
  <c r="AT30" i="41"/>
  <c r="AY9" i="34"/>
  <c r="D11" i="37"/>
  <c r="AX8" i="37"/>
  <c r="AO46" i="34"/>
  <c r="AP37" i="41"/>
  <c r="AO51" i="41"/>
  <c r="AX16" i="34"/>
  <c r="AP27" i="34"/>
  <c r="AZ24" i="41"/>
  <c r="D28" i="41"/>
  <c r="AT23" i="41"/>
  <c r="AP48" i="41"/>
  <c r="AO36" i="41"/>
  <c r="AY40" i="34"/>
  <c r="AY47" i="34"/>
  <c r="AY48" i="34"/>
  <c r="AZ48" i="34"/>
  <c r="AP37" i="34"/>
  <c r="AP16" i="34"/>
  <c r="AX23" i="34"/>
  <c r="AY8" i="37"/>
  <c r="AZ8" i="37"/>
  <c r="AP20" i="34"/>
  <c r="AO16" i="34"/>
  <c r="AX22" i="34"/>
  <c r="AY22" i="34"/>
  <c r="AP9" i="34"/>
  <c r="AO8" i="34"/>
  <c r="AO14" i="34"/>
  <c r="AY41" i="34"/>
  <c r="AT41" i="34"/>
  <c r="AY42" i="34"/>
  <c r="AO22" i="34"/>
  <c r="AY18" i="34"/>
  <c r="AX17" i="34"/>
  <c r="AY17" i="34"/>
  <c r="AZ17" i="34"/>
  <c r="AO7" i="34"/>
  <c r="AY11" i="34"/>
  <c r="AP10" i="34"/>
  <c r="AX40" i="34"/>
  <c r="AO10" i="34"/>
  <c r="AT15" i="34"/>
  <c r="AP7" i="37"/>
  <c r="AY9" i="37"/>
  <c r="AZ9" i="37"/>
  <c r="AO9" i="34"/>
  <c r="AY31" i="34"/>
  <c r="AP9" i="37"/>
  <c r="AX9" i="34"/>
  <c r="AZ9" i="34"/>
  <c r="AP8" i="34"/>
  <c r="AY16" i="34"/>
  <c r="AZ16" i="34"/>
  <c r="AP14" i="34"/>
  <c r="AZ22" i="34"/>
  <c r="AP22" i="34"/>
  <c r="AP12" i="34"/>
  <c r="AT10" i="34"/>
  <c r="AT17" i="34"/>
  <c r="AO47" i="34"/>
  <c r="AP47" i="34"/>
  <c r="AT18" i="34"/>
  <c r="AX61" i="41"/>
  <c r="AT61" i="41"/>
  <c r="AO22" i="41"/>
  <c r="AY33" i="41"/>
  <c r="AT31" i="41"/>
  <c r="AX31" i="41"/>
  <c r="AP38" i="41"/>
  <c r="AX63" i="41"/>
  <c r="AT63" i="41"/>
  <c r="D14" i="34"/>
  <c r="W12" i="34"/>
  <c r="AY39" i="34"/>
  <c r="AX31" i="34"/>
  <c r="AY8" i="34"/>
  <c r="AX18" i="34"/>
  <c r="AX11" i="34"/>
  <c r="AO26" i="37"/>
  <c r="AO12" i="34"/>
  <c r="AX30" i="34"/>
  <c r="AO18" i="34"/>
  <c r="AO20" i="34"/>
  <c r="AT48" i="34"/>
  <c r="AT42" i="34"/>
  <c r="AP46" i="34"/>
  <c r="AP33" i="34"/>
  <c r="AO37" i="34"/>
  <c r="AO24" i="34"/>
  <c r="AP28" i="34"/>
  <c r="AP23" i="34"/>
  <c r="AO39" i="34"/>
  <c r="AP24" i="34"/>
  <c r="AY31" i="41"/>
  <c r="AT33" i="41"/>
  <c r="AX33" i="41"/>
  <c r="AP54" i="41"/>
  <c r="AO54" i="41"/>
  <c r="AY54" i="41"/>
  <c r="AX54" i="41"/>
  <c r="AZ54" i="41"/>
  <c r="AX53" i="41"/>
  <c r="AZ53" i="41"/>
  <c r="AT53" i="41"/>
  <c r="AO17" i="41"/>
  <c r="AP15" i="41"/>
  <c r="AT55" i="41"/>
  <c r="AY56" i="41"/>
  <c r="AZ56" i="41"/>
  <c r="AP34" i="41"/>
  <c r="AT56" i="41"/>
  <c r="AO34" i="41"/>
  <c r="AT62" i="41"/>
  <c r="AY63" i="41"/>
  <c r="AO50" i="41"/>
  <c r="AP50" i="41"/>
  <c r="F43" i="34"/>
  <c r="D16" i="34"/>
  <c r="U16" i="34"/>
  <c r="AY24" i="34"/>
  <c r="AX33" i="34"/>
  <c r="AX10" i="34"/>
  <c r="AZ10" i="34"/>
  <c r="AX11" i="37"/>
  <c r="AZ11" i="37"/>
  <c r="AT10" i="37"/>
  <c r="AO9" i="37"/>
  <c r="AT9" i="37"/>
  <c r="AO24" i="37"/>
  <c r="AP7" i="34"/>
  <c r="AY29" i="34"/>
  <c r="AZ29" i="34"/>
  <c r="AX24" i="34"/>
  <c r="AZ24" i="34"/>
  <c r="AP18" i="34"/>
  <c r="AT31" i="34"/>
  <c r="AX47" i="34"/>
  <c r="AZ47" i="34"/>
  <c r="AT40" i="34"/>
  <c r="AT33" i="34"/>
  <c r="AP25" i="34"/>
  <c r="AY15" i="34"/>
  <c r="AZ15" i="34"/>
  <c r="AP48" i="34"/>
  <c r="AO33" i="34"/>
  <c r="AT47" i="34"/>
  <c r="AO38" i="41"/>
  <c r="AY23" i="41"/>
  <c r="AX22" i="41"/>
  <c r="AO16" i="41"/>
  <c r="AT22" i="41"/>
  <c r="AP16" i="41"/>
  <c r="AP18" i="41"/>
  <c r="AO18" i="41"/>
  <c r="AY25" i="41"/>
  <c r="AT24" i="41"/>
  <c r="AP33" i="41"/>
  <c r="AO33" i="41"/>
  <c r="AO39" i="41"/>
  <c r="AP39" i="41"/>
  <c r="AO55" i="41"/>
  <c r="AP55" i="41"/>
  <c r="AT54" i="41"/>
  <c r="AY33" i="34"/>
  <c r="AT22" i="34"/>
  <c r="AX10" i="37"/>
  <c r="AZ10" i="37"/>
  <c r="AY30" i="34"/>
  <c r="AT11" i="34"/>
  <c r="AX42" i="34"/>
  <c r="AX62" i="41"/>
  <c r="AZ62" i="41"/>
  <c r="AT60" i="41"/>
  <c r="AO21" i="41"/>
  <c r="AP22" i="41"/>
  <c r="AY22" i="41"/>
  <c r="AX23" i="41"/>
  <c r="AP20" i="41"/>
  <c r="AO20" i="41"/>
  <c r="AY29" i="41"/>
  <c r="AX30" i="41"/>
  <c r="AZ30" i="41"/>
  <c r="AX25" i="41"/>
  <c r="AT25" i="41"/>
  <c r="AO35" i="41"/>
  <c r="AP35" i="41"/>
  <c r="AP49" i="41"/>
  <c r="AO49" i="41"/>
  <c r="AT29" i="41"/>
  <c r="AX29" i="41"/>
  <c r="AP19" i="41"/>
  <c r="AY61" i="41"/>
  <c r="AO19" i="41"/>
  <c r="AX60" i="41"/>
  <c r="AZ60" i="41"/>
  <c r="AP31" i="41"/>
  <c r="AY55" i="41"/>
  <c r="AZ55" i="41"/>
  <c r="AO31" i="41"/>
  <c r="AO53" i="41"/>
  <c r="U27" i="27"/>
  <c r="F60" i="27"/>
  <c r="D62" i="27"/>
  <c r="D58" i="27"/>
  <c r="W12" i="27"/>
  <c r="U14" i="27"/>
  <c r="F12" i="38"/>
  <c r="W31" i="27"/>
  <c r="U60" i="27"/>
  <c r="W16" i="37"/>
  <c r="F63" i="27"/>
  <c r="D12" i="27"/>
  <c r="D26" i="27"/>
  <c r="U11" i="37"/>
  <c r="W13" i="27"/>
  <c r="U58" i="27"/>
  <c r="F13" i="27"/>
  <c r="U26" i="27"/>
  <c r="U13" i="37"/>
  <c r="U16" i="37"/>
  <c r="BC40" i="37"/>
  <c r="F44" i="27"/>
  <c r="U15" i="37"/>
  <c r="B127" i="30"/>
  <c r="AY17" i="37"/>
  <c r="BB16" i="37"/>
  <c r="BC16" i="37"/>
  <c r="BD16" i="37"/>
  <c r="BE16" i="37"/>
  <c r="D11" i="38"/>
  <c r="W11" i="37"/>
  <c r="D45" i="27"/>
  <c r="D13" i="38"/>
  <c r="U29" i="27"/>
  <c r="D59" i="27"/>
  <c r="W45" i="27"/>
  <c r="J274" i="30"/>
  <c r="B262" i="30"/>
  <c r="J62" i="30"/>
  <c r="AZ46" i="37"/>
  <c r="AZ23" i="34"/>
  <c r="AZ55" i="34"/>
  <c r="AZ56" i="37"/>
  <c r="F48" i="27"/>
  <c r="W26" i="27"/>
  <c r="U63" i="27"/>
  <c r="D14" i="27"/>
  <c r="D16" i="27"/>
  <c r="BC23" i="37"/>
  <c r="F11" i="38"/>
  <c r="U12" i="37"/>
  <c r="W29" i="27"/>
  <c r="AY15" i="37"/>
  <c r="AX16" i="37"/>
  <c r="AP28" i="37"/>
  <c r="AO28" i="37"/>
  <c r="U45" i="27"/>
  <c r="D15" i="27"/>
  <c r="U62" i="27"/>
  <c r="U13" i="27"/>
  <c r="W28" i="27"/>
  <c r="F30" i="27"/>
  <c r="F14" i="38"/>
  <c r="W11" i="38"/>
  <c r="W48" i="27"/>
  <c r="W16" i="27"/>
  <c r="F28" i="27"/>
  <c r="BC54" i="37"/>
  <c r="W14" i="38"/>
  <c r="F45" i="27"/>
  <c r="BC42" i="37"/>
  <c r="AO46" i="37"/>
  <c r="BD17" i="37"/>
  <c r="BE17" i="37"/>
  <c r="AP47" i="37"/>
  <c r="AO47" i="37"/>
  <c r="AT18" i="37"/>
  <c r="AP30" i="37"/>
  <c r="AO30" i="37"/>
  <c r="AT16" i="37"/>
  <c r="AP12" i="37"/>
  <c r="AT17" i="37"/>
  <c r="AO14" i="37"/>
  <c r="AT15" i="37"/>
  <c r="AY16" i="37"/>
  <c r="W12" i="37"/>
  <c r="BC24" i="37"/>
  <c r="BD22" i="37"/>
  <c r="BE22" i="37"/>
  <c r="U14" i="37"/>
  <c r="D30" i="27"/>
  <c r="F26" i="27"/>
  <c r="W15" i="37"/>
  <c r="W13" i="37"/>
  <c r="BC25" i="37"/>
  <c r="W62" i="27"/>
  <c r="U44" i="27"/>
  <c r="F15" i="38"/>
  <c r="W15" i="38"/>
  <c r="D61" i="27"/>
  <c r="D13" i="27"/>
  <c r="F13" i="38"/>
  <c r="W13" i="38"/>
  <c r="AO12" i="37"/>
  <c r="AP46" i="37"/>
  <c r="AX17" i="37"/>
  <c r="AZ17" i="37"/>
  <c r="AX15" i="37"/>
  <c r="AY18" i="37"/>
  <c r="W59" i="27"/>
  <c r="U48" i="27"/>
  <c r="F59" i="27"/>
  <c r="D46" i="27"/>
  <c r="BC55" i="37"/>
  <c r="BD53" i="37"/>
  <c r="BE53" i="37"/>
  <c r="BC48" i="37"/>
  <c r="BD46" i="37"/>
  <c r="BE46" i="37"/>
  <c r="U14" i="38"/>
  <c r="AX18" i="37"/>
  <c r="AP14" i="37"/>
  <c r="W14" i="27"/>
  <c r="W44" i="27"/>
  <c r="U31" i="27"/>
  <c r="W11" i="27"/>
  <c r="F11" i="27"/>
  <c r="BC56" i="37"/>
  <c r="BC41" i="37"/>
  <c r="BD41" i="37"/>
  <c r="BE41" i="37"/>
  <c r="U16" i="38"/>
  <c r="AZ39" i="34"/>
  <c r="AZ42" i="34"/>
  <c r="AZ63" i="41"/>
  <c r="AZ41" i="34"/>
  <c r="AZ60" i="37"/>
  <c r="AZ47" i="37"/>
  <c r="AZ42" i="37"/>
  <c r="AZ24" i="37"/>
  <c r="AZ41" i="41"/>
  <c r="AZ47" i="41"/>
  <c r="AZ9" i="41"/>
  <c r="AZ42" i="41"/>
  <c r="AZ17" i="41"/>
  <c r="AZ16" i="41"/>
  <c r="J309" i="30"/>
  <c r="J262" i="30"/>
  <c r="J70" i="30"/>
  <c r="J321" i="30"/>
  <c r="B297" i="30"/>
  <c r="J193" i="30"/>
  <c r="J121" i="30"/>
  <c r="J297" i="30"/>
  <c r="B309" i="30"/>
  <c r="B70" i="30"/>
  <c r="B34" i="30"/>
  <c r="J205" i="30"/>
  <c r="J10" i="30"/>
  <c r="J82" i="30"/>
  <c r="B52" i="30"/>
  <c r="J46" i="30"/>
  <c r="J22" i="30"/>
  <c r="J133" i="30"/>
  <c r="J40" i="30"/>
  <c r="B22" i="30"/>
  <c r="J111" i="30"/>
  <c r="J35" i="31"/>
  <c r="J94" i="30"/>
  <c r="J58" i="30"/>
  <c r="B94" i="30"/>
  <c r="B105" i="30"/>
  <c r="J23" i="31"/>
  <c r="J34" i="35"/>
  <c r="B34" i="35"/>
  <c r="J22" i="35"/>
  <c r="J10" i="35"/>
  <c r="B22" i="35"/>
  <c r="J334" i="30"/>
  <c r="J346" i="30"/>
  <c r="B346" i="30"/>
  <c r="J334" i="35"/>
  <c r="B346" i="35"/>
  <c r="J346" i="35"/>
  <c r="J105" i="35"/>
  <c r="J129" i="35"/>
  <c r="B117" i="35"/>
  <c r="B141" i="35"/>
  <c r="B152" i="35"/>
  <c r="J117" i="35"/>
  <c r="J141" i="35"/>
  <c r="B129" i="35"/>
  <c r="J117" i="30"/>
  <c r="J105" i="30"/>
  <c r="B117" i="30"/>
  <c r="B129" i="30"/>
  <c r="J129" i="30"/>
  <c r="J141" i="30"/>
  <c r="B141" i="30"/>
  <c r="B152" i="30"/>
  <c r="J144" i="30"/>
  <c r="J50" i="30"/>
  <c r="B62" i="30"/>
  <c r="J74" i="30"/>
  <c r="B123" i="30"/>
  <c r="J123" i="30"/>
  <c r="J97" i="30"/>
  <c r="B274" i="30"/>
  <c r="B135" i="30"/>
  <c r="B133" i="30"/>
  <c r="J109" i="30"/>
  <c r="B193" i="35"/>
  <c r="B180" i="30"/>
  <c r="J323" i="35"/>
  <c r="J180" i="30"/>
  <c r="B52" i="35"/>
  <c r="J168" i="30"/>
  <c r="B86" i="30"/>
  <c r="B250" i="30"/>
  <c r="B121" i="30"/>
  <c r="J250" i="30"/>
  <c r="J86" i="30"/>
  <c r="B168" i="30"/>
  <c r="AZ62" i="37"/>
  <c r="AZ63" i="37"/>
  <c r="BD15" i="37"/>
  <c r="BE15" i="37"/>
  <c r="AZ49" i="34"/>
  <c r="AZ33" i="34"/>
  <c r="AZ10" i="41"/>
  <c r="AZ54" i="37"/>
  <c r="U13" i="38"/>
  <c r="U11" i="38"/>
  <c r="W58" i="27"/>
  <c r="BC63" i="37"/>
  <c r="BC62" i="37"/>
  <c r="BD62" i="37"/>
  <c r="BE62" i="37"/>
  <c r="BC61" i="37"/>
  <c r="F61" i="27"/>
  <c r="W46" i="27"/>
  <c r="U47" i="27"/>
  <c r="BC47" i="37"/>
  <c r="BC49" i="37"/>
  <c r="F46" i="27"/>
  <c r="D47" i="27"/>
  <c r="BC33" i="37"/>
  <c r="BC30" i="37"/>
  <c r="BC31" i="37"/>
  <c r="BD31" i="37"/>
  <c r="BE31" i="37"/>
  <c r="D31" i="27"/>
  <c r="F27" i="27"/>
  <c r="F31" i="27"/>
  <c r="W15" i="27"/>
  <c r="B125" i="30"/>
  <c r="D11" i="27"/>
  <c r="AZ18" i="34"/>
  <c r="AZ25" i="41"/>
  <c r="AZ33" i="41"/>
  <c r="AZ8" i="34"/>
  <c r="AZ23" i="41"/>
  <c r="AU33" i="34"/>
  <c r="AZ40" i="34"/>
  <c r="AZ46" i="34"/>
  <c r="AU23" i="34"/>
  <c r="AU42" i="41"/>
  <c r="AU29" i="34"/>
  <c r="AU11" i="34"/>
  <c r="AZ29" i="41"/>
  <c r="AU62" i="34"/>
  <c r="AU24" i="34"/>
  <c r="AZ31" i="34"/>
  <c r="BD40" i="37"/>
  <c r="BE40" i="37"/>
  <c r="AZ22" i="41"/>
  <c r="AZ11" i="34"/>
  <c r="AU10" i="41"/>
  <c r="AU18" i="34"/>
  <c r="AU63" i="34"/>
  <c r="AU53" i="41"/>
  <c r="AV53" i="41"/>
  <c r="AW53" i="41"/>
  <c r="BA53" i="41"/>
  <c r="AU54" i="34"/>
  <c r="AV55" i="41"/>
  <c r="AV48" i="41"/>
  <c r="AV47" i="41"/>
  <c r="AV31" i="41"/>
  <c r="AV25" i="41"/>
  <c r="AV23" i="41"/>
  <c r="AV24" i="41"/>
  <c r="AV11" i="41"/>
  <c r="AV56" i="41"/>
  <c r="AV46" i="41"/>
  <c r="AV42" i="41"/>
  <c r="AW42" i="41"/>
  <c r="BA42" i="41"/>
  <c r="AV63" i="41"/>
  <c r="AV17" i="41"/>
  <c r="AV22" i="41"/>
  <c r="AV10" i="41"/>
  <c r="AW10" i="41"/>
  <c r="BA10" i="41"/>
  <c r="AV8" i="41"/>
  <c r="AV60" i="41"/>
  <c r="AV54" i="41"/>
  <c r="AV61" i="41"/>
  <c r="AV41" i="41"/>
  <c r="AV33" i="41"/>
  <c r="AV18" i="41"/>
  <c r="AV15" i="41"/>
  <c r="AV30" i="41"/>
  <c r="AV40" i="41"/>
  <c r="AV16" i="41"/>
  <c r="AV62" i="41"/>
  <c r="AV39" i="41"/>
  <c r="AV29" i="41"/>
  <c r="AV9" i="41"/>
  <c r="AV49" i="41"/>
  <c r="AU22" i="34"/>
  <c r="AU40" i="41"/>
  <c r="AU8" i="41"/>
  <c r="AW8" i="41"/>
  <c r="BA8" i="41"/>
  <c r="AU60" i="41"/>
  <c r="AU48" i="41"/>
  <c r="AW48" i="41"/>
  <c r="BA48" i="41"/>
  <c r="AU55" i="41"/>
  <c r="AU61" i="41"/>
  <c r="AW61" i="41"/>
  <c r="BA61" i="41"/>
  <c r="AU41" i="41"/>
  <c r="AW41" i="41"/>
  <c r="BA41" i="41"/>
  <c r="AV41" i="34"/>
  <c r="AV49" i="34"/>
  <c r="AV17" i="34"/>
  <c r="AV47" i="34"/>
  <c r="AV33" i="34"/>
  <c r="AW33" i="34"/>
  <c r="BA33" i="34"/>
  <c r="AV56" i="34"/>
  <c r="AV61" i="34"/>
  <c r="AV39" i="34"/>
  <c r="AV53" i="34"/>
  <c r="AV63" i="34"/>
  <c r="AV29" i="34"/>
  <c r="AW29" i="34"/>
  <c r="BA29" i="34"/>
  <c r="AV18" i="34"/>
  <c r="AV48" i="34"/>
  <c r="AV24" i="34"/>
  <c r="AV42" i="34"/>
  <c r="AV11" i="34"/>
  <c r="AW11" i="34"/>
  <c r="BA11" i="34"/>
  <c r="AV30" i="34"/>
  <c r="AV15" i="34"/>
  <c r="AV60" i="34"/>
  <c r="AV46" i="34"/>
  <c r="AV16" i="34"/>
  <c r="AV31" i="34"/>
  <c r="AV40" i="34"/>
  <c r="AV23" i="34"/>
  <c r="AW23" i="34"/>
  <c r="BA23" i="34"/>
  <c r="AV10" i="34"/>
  <c r="AV22" i="34"/>
  <c r="AV54" i="34"/>
  <c r="AV8" i="34"/>
  <c r="AV9" i="34"/>
  <c r="AV62" i="34"/>
  <c r="AV25" i="34"/>
  <c r="AV55" i="34"/>
  <c r="AU15" i="34"/>
  <c r="AW15" i="34"/>
  <c r="BA15" i="34"/>
  <c r="AZ30" i="34"/>
  <c r="AU47" i="34"/>
  <c r="AW47" i="34"/>
  <c r="BA47" i="34"/>
  <c r="AU25" i="34"/>
  <c r="AU17" i="41"/>
  <c r="AW17" i="41"/>
  <c r="BA17" i="41"/>
  <c r="AU29" i="41"/>
  <c r="AW29" i="41"/>
  <c r="BA29" i="41"/>
  <c r="AU24" i="41"/>
  <c r="AW24" i="41"/>
  <c r="BA24" i="41"/>
  <c r="AU15" i="41"/>
  <c r="AU47" i="41"/>
  <c r="AW18" i="34"/>
  <c r="BA18" i="34"/>
  <c r="AU46" i="41"/>
  <c r="AW46" i="41"/>
  <c r="BA46" i="41"/>
  <c r="AU42" i="34"/>
  <c r="AU30" i="34"/>
  <c r="AW30" i="34"/>
  <c r="BA30" i="34"/>
  <c r="AU33" i="41"/>
  <c r="AU53" i="34"/>
  <c r="AW53" i="34"/>
  <c r="BA53" i="34"/>
  <c r="AU46" i="34"/>
  <c r="AW46" i="34"/>
  <c r="BA46" i="34"/>
  <c r="AU10" i="34"/>
  <c r="AU60" i="34"/>
  <c r="AW60" i="34"/>
  <c r="BA60" i="34"/>
  <c r="AU16" i="34"/>
  <c r="AU61" i="34"/>
  <c r="AU55" i="34"/>
  <c r="AU41" i="34"/>
  <c r="AW41" i="34"/>
  <c r="BA41" i="34"/>
  <c r="AU39" i="34"/>
  <c r="AU8" i="34"/>
  <c r="AW8" i="34"/>
  <c r="BA8" i="34"/>
  <c r="AU48" i="34"/>
  <c r="AU31" i="34"/>
  <c r="AW31" i="34"/>
  <c r="AU17" i="34"/>
  <c r="AU9" i="34"/>
  <c r="AW9" i="34"/>
  <c r="BA9" i="34"/>
  <c r="AZ31" i="41"/>
  <c r="AU30" i="41"/>
  <c r="AU62" i="41"/>
  <c r="AU49" i="41"/>
  <c r="AW49" i="41"/>
  <c r="BA49" i="41"/>
  <c r="AU56" i="41"/>
  <c r="AW56" i="41"/>
  <c r="BA56" i="41"/>
  <c r="AU54" i="41"/>
  <c r="AW54" i="41"/>
  <c r="BA54" i="41"/>
  <c r="AU49" i="34"/>
  <c r="AW49" i="34"/>
  <c r="BA49" i="34"/>
  <c r="AW60" i="41"/>
  <c r="AW22" i="34"/>
  <c r="BA22" i="34"/>
  <c r="AW62" i="34"/>
  <c r="BA62" i="34"/>
  <c r="AU11" i="41"/>
  <c r="AW11" i="41"/>
  <c r="BA11" i="41"/>
  <c r="AU9" i="41"/>
  <c r="AU23" i="41"/>
  <c r="AW23" i="41"/>
  <c r="BA23" i="41"/>
  <c r="AU56" i="34"/>
  <c r="AW55" i="41"/>
  <c r="BA55" i="41"/>
  <c r="AU39" i="41"/>
  <c r="AW39" i="41"/>
  <c r="BA39" i="41"/>
  <c r="AU40" i="34"/>
  <c r="AW40" i="34"/>
  <c r="BA40" i="34"/>
  <c r="AU16" i="41"/>
  <c r="AU22" i="41"/>
  <c r="AW22" i="41"/>
  <c r="BA22" i="41"/>
  <c r="AU25" i="41"/>
  <c r="AW25" i="41"/>
  <c r="BA25" i="41"/>
  <c r="AU18" i="41"/>
  <c r="AW18" i="41"/>
  <c r="BA18" i="41"/>
  <c r="BB18" i="41"/>
  <c r="AU31" i="41"/>
  <c r="AW31" i="41"/>
  <c r="BA31" i="41"/>
  <c r="AU63" i="41"/>
  <c r="AW63" i="41"/>
  <c r="BA63" i="41"/>
  <c r="AZ61" i="41"/>
  <c r="BD18" i="37"/>
  <c r="BE18" i="37"/>
  <c r="BF15" i="37"/>
  <c r="BD55" i="37"/>
  <c r="BE55" i="37"/>
  <c r="BD56" i="37"/>
  <c r="BE56" i="37"/>
  <c r="BF53" i="37"/>
  <c r="BG53" i="37"/>
  <c r="BD24" i="37"/>
  <c r="BE24" i="37"/>
  <c r="BD42" i="37"/>
  <c r="BE42" i="37"/>
  <c r="AZ15" i="37"/>
  <c r="AV46" i="37"/>
  <c r="BD25" i="37"/>
  <c r="BE25" i="37"/>
  <c r="BF25" i="37"/>
  <c r="AZ16" i="37"/>
  <c r="BD48" i="37"/>
  <c r="BE48" i="37"/>
  <c r="BD54" i="37"/>
  <c r="BE54" i="37"/>
  <c r="BF54" i="37"/>
  <c r="BD23" i="37"/>
  <c r="BE23" i="37"/>
  <c r="BD39" i="37"/>
  <c r="BE39" i="37"/>
  <c r="AZ18" i="37"/>
  <c r="BF40" i="37"/>
  <c r="BG40" i="37"/>
  <c r="AU18" i="37"/>
  <c r="AU22" i="37"/>
  <c r="AU10" i="37"/>
  <c r="AU40" i="37"/>
  <c r="AU63" i="37"/>
  <c r="AU8" i="37"/>
  <c r="AU24" i="37"/>
  <c r="AU29" i="37"/>
  <c r="AU31" i="37"/>
  <c r="AU54" i="37"/>
  <c r="AU48" i="37"/>
  <c r="AU60" i="37"/>
  <c r="AU46" i="37"/>
  <c r="AU23" i="37"/>
  <c r="AU62" i="37"/>
  <c r="AU56" i="37"/>
  <c r="AU16" i="37"/>
  <c r="AU30" i="37"/>
  <c r="AU39" i="37"/>
  <c r="AU53" i="37"/>
  <c r="AU55" i="37"/>
  <c r="AU15" i="37"/>
  <c r="AU11" i="37"/>
  <c r="AU9" i="37"/>
  <c r="AU25" i="37"/>
  <c r="AU41" i="37"/>
  <c r="AU33" i="37"/>
  <c r="AU61" i="37"/>
  <c r="AU42" i="37"/>
  <c r="AU17" i="37"/>
  <c r="AU49" i="37"/>
  <c r="AU47" i="37"/>
  <c r="AV42" i="37"/>
  <c r="AV11" i="37"/>
  <c r="AV16" i="37"/>
  <c r="AV10" i="37"/>
  <c r="AV22" i="37"/>
  <c r="AV55" i="37"/>
  <c r="AV18" i="37"/>
  <c r="AV61" i="37"/>
  <c r="AV56" i="37"/>
  <c r="AV54" i="37"/>
  <c r="AV53" i="37"/>
  <c r="AV29" i="37"/>
  <c r="AV25" i="37"/>
  <c r="AV60" i="37"/>
  <c r="AV33" i="37"/>
  <c r="AV24" i="37"/>
  <c r="AV15" i="37"/>
  <c r="AV41" i="37"/>
  <c r="AV62" i="37"/>
  <c r="BF56" i="37"/>
  <c r="BG56" i="37"/>
  <c r="AV39" i="37"/>
  <c r="AV9" i="37"/>
  <c r="AV23" i="37"/>
  <c r="AV48" i="37"/>
  <c r="AV30" i="37"/>
  <c r="AV49" i="37"/>
  <c r="AV8" i="37"/>
  <c r="AV63" i="37"/>
  <c r="AV17" i="37"/>
  <c r="AV40" i="37"/>
  <c r="AV31" i="37"/>
  <c r="AV47" i="37"/>
  <c r="J64" i="30"/>
  <c r="B64" i="30"/>
  <c r="J64" i="35"/>
  <c r="B64" i="35"/>
  <c r="J52" i="35"/>
  <c r="J176" i="30"/>
  <c r="B164" i="30"/>
  <c r="J164" i="30"/>
  <c r="J152" i="30"/>
  <c r="B188" i="30"/>
  <c r="B199" i="30"/>
  <c r="J188" i="30"/>
  <c r="B176" i="30"/>
  <c r="J344" i="35"/>
  <c r="B344" i="35"/>
  <c r="J205" i="35"/>
  <c r="J193" i="35"/>
  <c r="B205" i="35"/>
  <c r="B176" i="35"/>
  <c r="J164" i="35"/>
  <c r="B188" i="35"/>
  <c r="B199" i="35"/>
  <c r="J188" i="35"/>
  <c r="J152" i="35"/>
  <c r="J176" i="35"/>
  <c r="B164" i="35"/>
  <c r="BD30" i="37"/>
  <c r="BE30" i="37"/>
  <c r="BF30" i="37"/>
  <c r="BH30" i="37"/>
  <c r="BF41" i="37"/>
  <c r="BH41" i="37"/>
  <c r="BD61" i="37"/>
  <c r="BE61" i="37"/>
  <c r="BF62" i="37"/>
  <c r="BD63" i="37"/>
  <c r="BE63" i="37"/>
  <c r="BD60" i="37"/>
  <c r="BE60" i="37"/>
  <c r="BD47" i="37"/>
  <c r="BE47" i="37"/>
  <c r="BD49" i="37"/>
  <c r="BE49" i="37"/>
  <c r="BD33" i="37"/>
  <c r="BE33" i="37"/>
  <c r="BD29" i="37"/>
  <c r="BE29" i="37"/>
  <c r="BF18" i="37"/>
  <c r="BF16" i="37"/>
  <c r="BF17" i="37"/>
  <c r="AW9" i="41"/>
  <c r="BA9" i="41"/>
  <c r="AW48" i="34"/>
  <c r="BA48" i="34"/>
  <c r="AW33" i="41"/>
  <c r="BA33" i="41"/>
  <c r="AW24" i="34"/>
  <c r="BA24" i="34"/>
  <c r="AW61" i="34"/>
  <c r="BA61" i="34"/>
  <c r="BB61" i="34"/>
  <c r="BC61" i="34"/>
  <c r="AW47" i="41"/>
  <c r="BA47" i="41"/>
  <c r="AW62" i="41"/>
  <c r="BA62" i="41"/>
  <c r="AW17" i="34"/>
  <c r="BA17" i="34"/>
  <c r="AW16" i="34"/>
  <c r="BA16" i="34"/>
  <c r="AW42" i="34"/>
  <c r="BA42" i="34"/>
  <c r="AW15" i="41"/>
  <c r="BA15" i="41"/>
  <c r="AW10" i="34"/>
  <c r="BA10" i="34"/>
  <c r="AW40" i="41"/>
  <c r="BA40" i="41"/>
  <c r="BB42" i="41"/>
  <c r="BB22" i="41"/>
  <c r="BC22" i="41"/>
  <c r="BB11" i="34"/>
  <c r="AW56" i="34"/>
  <c r="BA56" i="34"/>
  <c r="AW39" i="34"/>
  <c r="BA39" i="34"/>
  <c r="BB42" i="34"/>
  <c r="AW25" i="34"/>
  <c r="BA25" i="34"/>
  <c r="AW30" i="41"/>
  <c r="BA30" i="41"/>
  <c r="BA31" i="34"/>
  <c r="BB33" i="34"/>
  <c r="BB60" i="34"/>
  <c r="BC60" i="34"/>
  <c r="BB53" i="41"/>
  <c r="BC53" i="41"/>
  <c r="BA60" i="41"/>
  <c r="BB60" i="41"/>
  <c r="BC60" i="41"/>
  <c r="AW16" i="41"/>
  <c r="BA16" i="41"/>
  <c r="AW55" i="34"/>
  <c r="BA55" i="34"/>
  <c r="BB18" i="34"/>
  <c r="BB11" i="41"/>
  <c r="AW54" i="34"/>
  <c r="BA54" i="34"/>
  <c r="BB53" i="34"/>
  <c r="BC53" i="34"/>
  <c r="AW63" i="34"/>
  <c r="BA63" i="34"/>
  <c r="BH40" i="37"/>
  <c r="BF24" i="37"/>
  <c r="BF55" i="37"/>
  <c r="BG55" i="37"/>
  <c r="BF22" i="37"/>
  <c r="BG22" i="37"/>
  <c r="BF47" i="37"/>
  <c r="BG47" i="37"/>
  <c r="BH56" i="37"/>
  <c r="BF39" i="37"/>
  <c r="BG39" i="37"/>
  <c r="BF42" i="37"/>
  <c r="BG42" i="37"/>
  <c r="BF23" i="37"/>
  <c r="BH23" i="37"/>
  <c r="BG54" i="37"/>
  <c r="BH54" i="37"/>
  <c r="AW46" i="37"/>
  <c r="BH53" i="37"/>
  <c r="BG30" i="37"/>
  <c r="BG41" i="37"/>
  <c r="BH47" i="37"/>
  <c r="AW17" i="37"/>
  <c r="AW41" i="37"/>
  <c r="AW15" i="37"/>
  <c r="AW30" i="37"/>
  <c r="AW23" i="37"/>
  <c r="AW54" i="37"/>
  <c r="AW8" i="37"/>
  <c r="BA8" i="37"/>
  <c r="AW22" i="37"/>
  <c r="AW42" i="37"/>
  <c r="AW25" i="37"/>
  <c r="AW55" i="37"/>
  <c r="AW16" i="37"/>
  <c r="AW31" i="37"/>
  <c r="AW63" i="37"/>
  <c r="AW18" i="37"/>
  <c r="BG23" i="37"/>
  <c r="AW47" i="37"/>
  <c r="AW61" i="37"/>
  <c r="AW9" i="37"/>
  <c r="BA9" i="37"/>
  <c r="BB9" i="37"/>
  <c r="BC9" i="37"/>
  <c r="AW53" i="37"/>
  <c r="AW56" i="37"/>
  <c r="AW60" i="37"/>
  <c r="AW29" i="37"/>
  <c r="AW40" i="37"/>
  <c r="AW49" i="37"/>
  <c r="AW33" i="37"/>
  <c r="AW11" i="37"/>
  <c r="BA11" i="37"/>
  <c r="AW39" i="37"/>
  <c r="AW62" i="37"/>
  <c r="AW48" i="37"/>
  <c r="AW24" i="37"/>
  <c r="AW10" i="37"/>
  <c r="BA10" i="37"/>
  <c r="BF29" i="37"/>
  <c r="BG29" i="37"/>
  <c r="BF31" i="37"/>
  <c r="BG31" i="37"/>
  <c r="J235" i="30"/>
  <c r="B223" i="30"/>
  <c r="J199" i="30"/>
  <c r="J223" i="30"/>
  <c r="B235" i="30"/>
  <c r="B246" i="30"/>
  <c r="B211" i="30"/>
  <c r="J211" i="30"/>
  <c r="J211" i="35"/>
  <c r="B211" i="35"/>
  <c r="J199" i="35"/>
  <c r="B235" i="35"/>
  <c r="B246" i="35"/>
  <c r="J223" i="35"/>
  <c r="B223" i="35"/>
  <c r="J235" i="35"/>
  <c r="BG62" i="37"/>
  <c r="BH62" i="37"/>
  <c r="BF60" i="37"/>
  <c r="BH60" i="37"/>
  <c r="BF61" i="37"/>
  <c r="BH61" i="37"/>
  <c r="BF63" i="37"/>
  <c r="BF48" i="37"/>
  <c r="BG48" i="37"/>
  <c r="BF49" i="37"/>
  <c r="BF46" i="37"/>
  <c r="BF33" i="37"/>
  <c r="BG17" i="37"/>
  <c r="BH17" i="37"/>
  <c r="BH18" i="37"/>
  <c r="BG18" i="37"/>
  <c r="BG16" i="37"/>
  <c r="BH16" i="37"/>
  <c r="BH24" i="37"/>
  <c r="BG24" i="37"/>
  <c r="BG25" i="37"/>
  <c r="BH25" i="37"/>
  <c r="BG15" i="37"/>
  <c r="BH15" i="37"/>
  <c r="BB30" i="41"/>
  <c r="BC30" i="41"/>
  <c r="BB29" i="41"/>
  <c r="BC29" i="41"/>
  <c r="BB61" i="41"/>
  <c r="BC61" i="41"/>
  <c r="BH42" i="37"/>
  <c r="BI42" i="37"/>
  <c r="BH55" i="37"/>
  <c r="BI55" i="37"/>
  <c r="BJ55" i="37"/>
  <c r="BH22" i="37"/>
  <c r="BI23" i="37"/>
  <c r="BH31" i="37"/>
  <c r="BH39" i="37"/>
  <c r="BI54" i="37"/>
  <c r="BJ54" i="37"/>
  <c r="BI53" i="37"/>
  <c r="BH29" i="37"/>
  <c r="BI29" i="37"/>
  <c r="BG60" i="37"/>
  <c r="BB10" i="37"/>
  <c r="BC10" i="37"/>
  <c r="BB11" i="37"/>
  <c r="BC11" i="37"/>
  <c r="BD11" i="37"/>
  <c r="BE11" i="37"/>
  <c r="BI56" i="37"/>
  <c r="BJ56" i="37"/>
  <c r="BB8" i="37"/>
  <c r="BC8" i="37"/>
  <c r="J270" i="30"/>
  <c r="J246" i="30"/>
  <c r="J258" i="30"/>
  <c r="B270" i="30"/>
  <c r="B258" i="30"/>
  <c r="J282" i="30"/>
  <c r="B282" i="30"/>
  <c r="B293" i="30"/>
  <c r="J258" i="35"/>
  <c r="B282" i="35"/>
  <c r="B293" i="35"/>
  <c r="J270" i="35"/>
  <c r="J282" i="35"/>
  <c r="B258" i="35"/>
  <c r="J246" i="35"/>
  <c r="B270" i="35"/>
  <c r="BH48" i="37"/>
  <c r="BG61" i="37"/>
  <c r="BH63" i="37"/>
  <c r="BG63" i="37"/>
  <c r="BG46" i="37"/>
  <c r="BH46" i="37"/>
  <c r="BG49" i="37"/>
  <c r="BH49" i="37"/>
  <c r="BI30" i="37"/>
  <c r="BH33" i="37"/>
  <c r="BG33" i="37"/>
  <c r="BI22" i="37"/>
  <c r="BI25" i="37"/>
  <c r="BI24" i="37"/>
  <c r="BI18" i="37"/>
  <c r="BI17" i="37"/>
  <c r="BI15" i="37"/>
  <c r="BI16" i="37"/>
  <c r="BI41" i="37"/>
  <c r="BK41" i="37"/>
  <c r="BK42" i="37"/>
  <c r="BJ42" i="37"/>
  <c r="BJ41" i="37"/>
  <c r="BK55" i="37"/>
  <c r="BK56" i="37"/>
  <c r="BI60" i="37"/>
  <c r="BJ60" i="37"/>
  <c r="BI40" i="37"/>
  <c r="BI39" i="37"/>
  <c r="BK54" i="37"/>
  <c r="BJ53" i="37"/>
  <c r="BK53" i="37"/>
  <c r="BD9" i="37"/>
  <c r="BE9" i="37"/>
  <c r="BD10" i="37"/>
  <c r="BE10" i="37"/>
  <c r="BD8" i="37"/>
  <c r="BE8" i="37"/>
  <c r="J329" i="35"/>
  <c r="B329" i="35"/>
  <c r="B340" i="35"/>
  <c r="J293" i="35"/>
  <c r="B317" i="35"/>
  <c r="B305" i="35"/>
  <c r="J305" i="35"/>
  <c r="J317" i="35"/>
  <c r="J293" i="30"/>
  <c r="B317" i="30"/>
  <c r="B329" i="30"/>
  <c r="B340" i="30"/>
  <c r="J305" i="30"/>
  <c r="B305" i="30"/>
  <c r="J329" i="30"/>
  <c r="J317" i="30"/>
  <c r="BI33" i="37"/>
  <c r="BK33" i="37"/>
  <c r="BI48" i="37"/>
  <c r="BK48" i="37"/>
  <c r="BI61" i="37"/>
  <c r="BK61" i="37"/>
  <c r="BI63" i="37"/>
  <c r="BI62" i="37"/>
  <c r="BI49" i="37"/>
  <c r="BK49" i="37"/>
  <c r="BI46" i="37"/>
  <c r="BI47" i="37"/>
  <c r="BK29" i="37"/>
  <c r="BJ29" i="37"/>
  <c r="BK30" i="37"/>
  <c r="BJ30" i="37"/>
  <c r="BI31" i="37"/>
  <c r="BJ16" i="37"/>
  <c r="BK16" i="37"/>
  <c r="BJ18" i="37"/>
  <c r="BK18" i="37"/>
  <c r="BK23" i="37"/>
  <c r="BJ23" i="37"/>
  <c r="BK15" i="37"/>
  <c r="BJ15" i="37"/>
  <c r="BK22" i="37"/>
  <c r="BJ22" i="37"/>
  <c r="BK24" i="37"/>
  <c r="BJ24" i="37"/>
  <c r="BK17" i="37"/>
  <c r="BJ17" i="37"/>
  <c r="BJ25" i="37"/>
  <c r="BK25" i="37"/>
  <c r="BL56" i="37"/>
  <c r="BM56" i="37"/>
  <c r="BJ33" i="37"/>
  <c r="BL33" i="37"/>
  <c r="BL54" i="37"/>
  <c r="BN54" i="37"/>
  <c r="BK60" i="37"/>
  <c r="BL53" i="37"/>
  <c r="BM53" i="37"/>
  <c r="BK39" i="37"/>
  <c r="BJ39" i="37"/>
  <c r="BK40" i="37"/>
  <c r="BJ40" i="37"/>
  <c r="BL55" i="37"/>
  <c r="BJ61" i="37"/>
  <c r="BJ48" i="37"/>
  <c r="BN56" i="37"/>
  <c r="BM54" i="37"/>
  <c r="BF8" i="37"/>
  <c r="BF11" i="37"/>
  <c r="BF10" i="37"/>
  <c r="BF9" i="37"/>
  <c r="J352" i="30"/>
  <c r="B352" i="30"/>
  <c r="J340" i="30"/>
  <c r="J340" i="35"/>
  <c r="J352" i="35"/>
  <c r="B352" i="35"/>
  <c r="BK62" i="37"/>
  <c r="BJ62" i="37"/>
  <c r="BK63" i="37"/>
  <c r="BJ63" i="37"/>
  <c r="BJ49" i="37"/>
  <c r="BK47" i="37"/>
  <c r="BJ47" i="37"/>
  <c r="BK46" i="37"/>
  <c r="BJ46" i="37"/>
  <c r="BJ31" i="37"/>
  <c r="BK31" i="37"/>
  <c r="BL15" i="37"/>
  <c r="BL17" i="37"/>
  <c r="BL22" i="37"/>
  <c r="BL24" i="37"/>
  <c r="BL25" i="37"/>
  <c r="BL23" i="37"/>
  <c r="BL16" i="37"/>
  <c r="BL18" i="37"/>
  <c r="BL30" i="37"/>
  <c r="BN30" i="37"/>
  <c r="BN53" i="37"/>
  <c r="BO53" i="37"/>
  <c r="BL40" i="37"/>
  <c r="BL42" i="37"/>
  <c r="BL39" i="37"/>
  <c r="BL41" i="37"/>
  <c r="BM55" i="37"/>
  <c r="BN55" i="37"/>
  <c r="BL63" i="37"/>
  <c r="BN63" i="37"/>
  <c r="BG9" i="37"/>
  <c r="BH9" i="37"/>
  <c r="BH10" i="37"/>
  <c r="BG10" i="37"/>
  <c r="BH11" i="37"/>
  <c r="BG11" i="37"/>
  <c r="BL31" i="37"/>
  <c r="BN31" i="37"/>
  <c r="BG8" i="37"/>
  <c r="BH8" i="37"/>
  <c r="BL60" i="37"/>
  <c r="BM60" i="37"/>
  <c r="BL62" i="37"/>
  <c r="BL61" i="37"/>
  <c r="BL48" i="37"/>
  <c r="BL46" i="37"/>
  <c r="BL49" i="37"/>
  <c r="BL47" i="37"/>
  <c r="BL29" i="37"/>
  <c r="BN29" i="37"/>
  <c r="BN33" i="37"/>
  <c r="BM33" i="37"/>
  <c r="BM30" i="37"/>
  <c r="BM18" i="37"/>
  <c r="BN18" i="37"/>
  <c r="BN15" i="37"/>
  <c r="BM15" i="37"/>
  <c r="BM23" i="37"/>
  <c r="BN23" i="37"/>
  <c r="BM24" i="37"/>
  <c r="BN24" i="37"/>
  <c r="BN16" i="37"/>
  <c r="BM16" i="37"/>
  <c r="BM25" i="37"/>
  <c r="BN25" i="37"/>
  <c r="BM22" i="37"/>
  <c r="BN22" i="37"/>
  <c r="BN17" i="37"/>
  <c r="BM17" i="37"/>
  <c r="BM31" i="37"/>
  <c r="BO31" i="37"/>
  <c r="BR53" i="37"/>
  <c r="BQ53" i="37"/>
  <c r="BP53" i="37"/>
  <c r="BO56" i="37"/>
  <c r="BM41" i="37"/>
  <c r="BN41" i="37"/>
  <c r="BN39" i="37"/>
  <c r="BM39" i="37"/>
  <c r="BM63" i="37"/>
  <c r="BN42" i="37"/>
  <c r="BM42" i="37"/>
  <c r="BN40" i="37"/>
  <c r="BM40" i="37"/>
  <c r="BO54" i="37"/>
  <c r="BR54" i="37"/>
  <c r="BO55" i="37"/>
  <c r="BN60" i="37"/>
  <c r="BO63" i="37"/>
  <c r="BM29" i="37"/>
  <c r="BO33" i="37"/>
  <c r="BI9" i="37"/>
  <c r="BI8" i="37"/>
  <c r="BI11" i="37"/>
  <c r="BI10" i="37"/>
  <c r="BM61" i="37"/>
  <c r="BN61" i="37"/>
  <c r="BM62" i="37"/>
  <c r="BN62" i="37"/>
  <c r="BN49" i="37"/>
  <c r="BM49" i="37"/>
  <c r="BN46" i="37"/>
  <c r="BM46" i="37"/>
  <c r="BM47" i="37"/>
  <c r="BN47" i="37"/>
  <c r="BN48" i="37"/>
  <c r="BM48" i="37"/>
  <c r="BO16" i="37"/>
  <c r="BO17" i="37"/>
  <c r="BO23" i="37"/>
  <c r="BO24" i="37"/>
  <c r="BO25" i="37"/>
  <c r="BO22" i="37"/>
  <c r="BO15" i="37"/>
  <c r="BO18" i="37"/>
  <c r="BO30" i="37"/>
  <c r="BO29" i="37"/>
  <c r="BQ29" i="37"/>
  <c r="BP56" i="37"/>
  <c r="BQ56" i="37"/>
  <c r="BR56" i="37"/>
  <c r="BO39" i="37"/>
  <c r="BO42" i="37"/>
  <c r="BO40" i="37"/>
  <c r="BO41" i="37"/>
  <c r="BP54" i="37"/>
  <c r="BQ54" i="37"/>
  <c r="BR55" i="37"/>
  <c r="BQ55" i="37"/>
  <c r="BP55" i="37"/>
  <c r="BO60" i="37"/>
  <c r="BQ60" i="37"/>
  <c r="BK10" i="37"/>
  <c r="BJ10" i="37"/>
  <c r="BJ11" i="37"/>
  <c r="BK11" i="37"/>
  <c r="BJ8" i="37"/>
  <c r="BK8" i="37"/>
  <c r="BJ9" i="37"/>
  <c r="BK9" i="37"/>
  <c r="BO61" i="37"/>
  <c r="BO62" i="37"/>
  <c r="BP63" i="37"/>
  <c r="BQ63" i="37"/>
  <c r="BR63" i="37"/>
  <c r="BO46" i="37"/>
  <c r="BO49" i="37"/>
  <c r="BO47" i="37"/>
  <c r="BO48" i="37"/>
  <c r="BQ30" i="37"/>
  <c r="BR30" i="37"/>
  <c r="BP30" i="37"/>
  <c r="BQ31" i="37"/>
  <c r="BR31" i="37"/>
  <c r="BP31" i="37"/>
  <c r="BR33" i="37"/>
  <c r="BP33" i="37"/>
  <c r="BQ33" i="37"/>
  <c r="BR29" i="37"/>
  <c r="BR15" i="37"/>
  <c r="BP15" i="37"/>
  <c r="BQ15" i="37"/>
  <c r="BR22" i="37"/>
  <c r="BP22" i="37"/>
  <c r="BQ22" i="37"/>
  <c r="BQ17" i="37"/>
  <c r="BR17" i="37"/>
  <c r="BP17" i="37"/>
  <c r="BP25" i="37"/>
  <c r="BR25" i="37"/>
  <c r="BQ25" i="37"/>
  <c r="BQ16" i="37"/>
  <c r="BP16" i="37"/>
  <c r="BR16" i="37"/>
  <c r="BP24" i="37"/>
  <c r="BR24" i="37"/>
  <c r="BQ24" i="37"/>
  <c r="BQ18" i="37"/>
  <c r="BP18" i="37"/>
  <c r="BR18" i="37"/>
  <c r="BP23" i="37"/>
  <c r="BR23" i="37"/>
  <c r="BQ23" i="37"/>
  <c r="BP29" i="37"/>
  <c r="BR60" i="37"/>
  <c r="BP60" i="37"/>
  <c r="BP41" i="37"/>
  <c r="BQ41" i="37"/>
  <c r="BR41" i="37"/>
  <c r="BP40" i="37"/>
  <c r="BR40" i="37"/>
  <c r="BQ40" i="37"/>
  <c r="BQ42" i="37"/>
  <c r="BP42" i="37"/>
  <c r="BR42" i="37"/>
  <c r="BR39" i="37"/>
  <c r="BQ39" i="37"/>
  <c r="BP39" i="37"/>
  <c r="BS54" i="37"/>
  <c r="BS53" i="37"/>
  <c r="BS56" i="37"/>
  <c r="BS55" i="37"/>
  <c r="BL9" i="37"/>
  <c r="BL11" i="37"/>
  <c r="BL10" i="37"/>
  <c r="BL8" i="37"/>
  <c r="BQ62" i="37"/>
  <c r="BR62" i="37"/>
  <c r="BP62" i="37"/>
  <c r="BQ61" i="37"/>
  <c r="BP61" i="37"/>
  <c r="BR61" i="37"/>
  <c r="BQ48" i="37"/>
  <c r="BP48" i="37"/>
  <c r="BR48" i="37"/>
  <c r="BR47" i="37"/>
  <c r="BP47" i="37"/>
  <c r="BQ47" i="37"/>
  <c r="BR49" i="37"/>
  <c r="BP49" i="37"/>
  <c r="BQ49" i="37"/>
  <c r="BR46" i="37"/>
  <c r="BP46" i="37"/>
  <c r="BQ46" i="37"/>
  <c r="BS30" i="37"/>
  <c r="BS29" i="37"/>
  <c r="BS31" i="37"/>
  <c r="BS33" i="37"/>
  <c r="BS23" i="37"/>
  <c r="BS22" i="37"/>
  <c r="BS25" i="37"/>
  <c r="BS24" i="37"/>
  <c r="BS17" i="37"/>
  <c r="BS18" i="37"/>
  <c r="BS15" i="37"/>
  <c r="BS16" i="37"/>
  <c r="BS39" i="37"/>
  <c r="BS40" i="37"/>
  <c r="BS42" i="37"/>
  <c r="BS41" i="37"/>
  <c r="BU53" i="37"/>
  <c r="BV53" i="37"/>
  <c r="BT53" i="37"/>
  <c r="BU54" i="37"/>
  <c r="BT54" i="37"/>
  <c r="BV54" i="37"/>
  <c r="BV55" i="37"/>
  <c r="BT55" i="37"/>
  <c r="BU55" i="37"/>
  <c r="BV56" i="37"/>
  <c r="BU56" i="37"/>
  <c r="BT56" i="37"/>
  <c r="BM8" i="37"/>
  <c r="BN8" i="37"/>
  <c r="BN10" i="37"/>
  <c r="BM10" i="37"/>
  <c r="BM11" i="37"/>
  <c r="BN11" i="37"/>
  <c r="BN9" i="37"/>
  <c r="BM9" i="37"/>
  <c r="BS60" i="37"/>
  <c r="BT60" i="37"/>
  <c r="BS61" i="37"/>
  <c r="BS63" i="37"/>
  <c r="BS62" i="37"/>
  <c r="BS48" i="37"/>
  <c r="BS49" i="37"/>
  <c r="BS47" i="37"/>
  <c r="BS46" i="37"/>
  <c r="BT33" i="37"/>
  <c r="BV33" i="37"/>
  <c r="BU33" i="37"/>
  <c r="BV31" i="37"/>
  <c r="BU31" i="37"/>
  <c r="BT31" i="37"/>
  <c r="BU29" i="37"/>
  <c r="BV29" i="37"/>
  <c r="BT29" i="37"/>
  <c r="BU30" i="37"/>
  <c r="BT30" i="37"/>
  <c r="BV30" i="37"/>
  <c r="BV15" i="37"/>
  <c r="BT15" i="37"/>
  <c r="BU15" i="37"/>
  <c r="BV17" i="37"/>
  <c r="BT17" i="37"/>
  <c r="BU17" i="37"/>
  <c r="BV24" i="37"/>
  <c r="BT24" i="37"/>
  <c r="BU24" i="37"/>
  <c r="BU25" i="37"/>
  <c r="BV25" i="37"/>
  <c r="BT25" i="37"/>
  <c r="BU22" i="37"/>
  <c r="BT22" i="37"/>
  <c r="BV22" i="37"/>
  <c r="BU16" i="37"/>
  <c r="BT16" i="37"/>
  <c r="BV16" i="37"/>
  <c r="BT18" i="37"/>
  <c r="BV18" i="37"/>
  <c r="BU18" i="37"/>
  <c r="BU23" i="37"/>
  <c r="BT23" i="37"/>
  <c r="BV23" i="37"/>
  <c r="BT41" i="37"/>
  <c r="BU41" i="37"/>
  <c r="BV41" i="37"/>
  <c r="BV42" i="37"/>
  <c r="BU42" i="37"/>
  <c r="BT42" i="37"/>
  <c r="BV40" i="37"/>
  <c r="BT40" i="37"/>
  <c r="BU40" i="37"/>
  <c r="BV39" i="37"/>
  <c r="BU39" i="37"/>
  <c r="BT39" i="37"/>
  <c r="BW54" i="37"/>
  <c r="BW56" i="37"/>
  <c r="BW53" i="37"/>
  <c r="BW55" i="37"/>
  <c r="BO9" i="37"/>
  <c r="BO10" i="37"/>
  <c r="BO8" i="37"/>
  <c r="BO11" i="37"/>
  <c r="BV60" i="37"/>
  <c r="BU60" i="37"/>
  <c r="BV61" i="37"/>
  <c r="BU61" i="37"/>
  <c r="BT61" i="37"/>
  <c r="BU62" i="37"/>
  <c r="BV62" i="37"/>
  <c r="BT62" i="37"/>
  <c r="BT63" i="37"/>
  <c r="BU63" i="37"/>
  <c r="BV63" i="37"/>
  <c r="BV46" i="37"/>
  <c r="BU46" i="37"/>
  <c r="BT46" i="37"/>
  <c r="BU47" i="37"/>
  <c r="BT47" i="37"/>
  <c r="BV47" i="37"/>
  <c r="BU49" i="37"/>
  <c r="BT49" i="37"/>
  <c r="BV49" i="37"/>
  <c r="BT48" i="37"/>
  <c r="BU48" i="37"/>
  <c r="BV48" i="37"/>
  <c r="BW30" i="37"/>
  <c r="BW33" i="37"/>
  <c r="BW29" i="37"/>
  <c r="BW31" i="37"/>
  <c r="BW24" i="37"/>
  <c r="BW22" i="37"/>
  <c r="BW17" i="37"/>
  <c r="BW15" i="37"/>
  <c r="BW25" i="37"/>
  <c r="BW23" i="37"/>
  <c r="BW18" i="37"/>
  <c r="BW16" i="37"/>
  <c r="BW41" i="37"/>
  <c r="BW39" i="37"/>
  <c r="BW42" i="37"/>
  <c r="BW40" i="37"/>
  <c r="BY55" i="37"/>
  <c r="BX55" i="37"/>
  <c r="BZ55" i="37"/>
  <c r="BY53" i="37"/>
  <c r="BX53" i="37"/>
  <c r="BZ53" i="37"/>
  <c r="BX56" i="37"/>
  <c r="BY56" i="37"/>
  <c r="BZ56" i="37"/>
  <c r="BX54" i="37"/>
  <c r="BZ54" i="37"/>
  <c r="BY54" i="37"/>
  <c r="BP11" i="37"/>
  <c r="BR11" i="37"/>
  <c r="BQ11" i="37"/>
  <c r="BR8" i="37"/>
  <c r="BP8" i="37"/>
  <c r="BQ8" i="37"/>
  <c r="BR10" i="37"/>
  <c r="BQ10" i="37"/>
  <c r="BP10" i="37"/>
  <c r="BR9" i="37"/>
  <c r="BP9" i="37"/>
  <c r="BQ9" i="37"/>
  <c r="BW60" i="37"/>
  <c r="BZ60" i="37"/>
  <c r="BW62" i="37"/>
  <c r="BY62" i="37"/>
  <c r="BW63" i="37"/>
  <c r="BW61" i="37"/>
  <c r="BW49" i="37"/>
  <c r="BW47" i="37"/>
  <c r="BW46" i="37"/>
  <c r="BW48" i="37"/>
  <c r="BX30" i="37"/>
  <c r="BZ30" i="37"/>
  <c r="BY30" i="37"/>
  <c r="BY31" i="37"/>
  <c r="BZ31" i="37"/>
  <c r="BX31" i="37"/>
  <c r="BX29" i="37"/>
  <c r="BZ29" i="37"/>
  <c r="BY29" i="37"/>
  <c r="BX33" i="37"/>
  <c r="BY33" i="37"/>
  <c r="BZ33" i="37"/>
  <c r="BY23" i="37"/>
  <c r="BZ23" i="37"/>
  <c r="BX23" i="37"/>
  <c r="BY25" i="37"/>
  <c r="BZ25" i="37"/>
  <c r="BX25" i="37"/>
  <c r="BZ22" i="37"/>
  <c r="BX22" i="37"/>
  <c r="BY22" i="37"/>
  <c r="BZ16" i="37"/>
  <c r="BX16" i="37"/>
  <c r="BY16" i="37"/>
  <c r="BX15" i="37"/>
  <c r="BZ15" i="37"/>
  <c r="BY15" i="37"/>
  <c r="BZ24" i="37"/>
  <c r="BX24" i="37"/>
  <c r="BY24" i="37"/>
  <c r="BZ18" i="37"/>
  <c r="BX18" i="37"/>
  <c r="BY18" i="37"/>
  <c r="BZ17" i="37"/>
  <c r="BY17" i="37"/>
  <c r="BX17" i="37"/>
  <c r="BY40" i="37"/>
  <c r="BZ40" i="37"/>
  <c r="BX40" i="37"/>
  <c r="BZ42" i="37"/>
  <c r="BX42" i="37"/>
  <c r="BY42" i="37"/>
  <c r="BX39" i="37"/>
  <c r="BY39" i="37"/>
  <c r="BZ39" i="37"/>
  <c r="BZ41" i="37"/>
  <c r="BX41" i="37"/>
  <c r="BY41" i="37"/>
  <c r="CA55" i="37"/>
  <c r="CA54" i="37"/>
  <c r="CA53" i="37"/>
  <c r="CA56" i="37"/>
  <c r="BS11" i="37"/>
  <c r="BV11" i="37"/>
  <c r="BS8" i="37"/>
  <c r="BS9" i="37"/>
  <c r="BS10" i="37"/>
  <c r="BY60" i="37"/>
  <c r="BX60" i="37"/>
  <c r="BX62" i="37"/>
  <c r="BZ62" i="37"/>
  <c r="BX61" i="37"/>
  <c r="BZ61" i="37"/>
  <c r="BY61" i="37"/>
  <c r="BX63" i="37"/>
  <c r="BY63" i="37"/>
  <c r="BZ63" i="37"/>
  <c r="BY48" i="37"/>
  <c r="BX48" i="37"/>
  <c r="BZ48" i="37"/>
  <c r="BY46" i="37"/>
  <c r="BZ46" i="37"/>
  <c r="BX46" i="37"/>
  <c r="BZ47" i="37"/>
  <c r="BY47" i="37"/>
  <c r="BX47" i="37"/>
  <c r="BZ49" i="37"/>
  <c r="BX49" i="37"/>
  <c r="BY49" i="37"/>
  <c r="CA33" i="37"/>
  <c r="CA29" i="37"/>
  <c r="CA31" i="37"/>
  <c r="CA30" i="37"/>
  <c r="CA23" i="37"/>
  <c r="CA24" i="37"/>
  <c r="CA16" i="37"/>
  <c r="CA17" i="37"/>
  <c r="CA25" i="37"/>
  <c r="CA22" i="37"/>
  <c r="CA15" i="37"/>
  <c r="CA18" i="37"/>
  <c r="CA39" i="37"/>
  <c r="CA42" i="37"/>
  <c r="CA41" i="37"/>
  <c r="CA40" i="37"/>
  <c r="CB56" i="37"/>
  <c r="CH56" i="37"/>
  <c r="CC56" i="37"/>
  <c r="CD56" i="37"/>
  <c r="CB53" i="37"/>
  <c r="CC53" i="37"/>
  <c r="CD53" i="37"/>
  <c r="CH53" i="37"/>
  <c r="CH54" i="37"/>
  <c r="CD54" i="37"/>
  <c r="CC54" i="37"/>
  <c r="CB54" i="37"/>
  <c r="CC55" i="37"/>
  <c r="CB55" i="37"/>
  <c r="CH55" i="37"/>
  <c r="CD55" i="37"/>
  <c r="BT11" i="37"/>
  <c r="BU11" i="37"/>
  <c r="BT8" i="37"/>
  <c r="BU8" i="37"/>
  <c r="BV8" i="37"/>
  <c r="BV10" i="37"/>
  <c r="BT10" i="37"/>
  <c r="BU10" i="37"/>
  <c r="BT9" i="37"/>
  <c r="BU9" i="37"/>
  <c r="BV9" i="37"/>
  <c r="CA60" i="37"/>
  <c r="CB60" i="37"/>
  <c r="CA63" i="37"/>
  <c r="CB63" i="37"/>
  <c r="CA62" i="37"/>
  <c r="CA61" i="37"/>
  <c r="CA46" i="37"/>
  <c r="CA49" i="37"/>
  <c r="CA48" i="37"/>
  <c r="CA47" i="37"/>
  <c r="CB33" i="37"/>
  <c r="CC33" i="37"/>
  <c r="CD33" i="37"/>
  <c r="CH33" i="37"/>
  <c r="CC30" i="37"/>
  <c r="CD30" i="37"/>
  <c r="CH30" i="37"/>
  <c r="CB30" i="37"/>
  <c r="CH31" i="37"/>
  <c r="CC31" i="37"/>
  <c r="CD31" i="37"/>
  <c r="CB31" i="37"/>
  <c r="CC29" i="37"/>
  <c r="CD29" i="37"/>
  <c r="CB29" i="37"/>
  <c r="CH29" i="37"/>
  <c r="CC15" i="37"/>
  <c r="CD15" i="37"/>
  <c r="CH15" i="37"/>
  <c r="CB15" i="37"/>
  <c r="CC22" i="37"/>
  <c r="CD22" i="37"/>
  <c r="CB22" i="37"/>
  <c r="CH22" i="37"/>
  <c r="CB17" i="37"/>
  <c r="CD17" i="37"/>
  <c r="CH17" i="37"/>
  <c r="CC17" i="37"/>
  <c r="CB18" i="37"/>
  <c r="CD18" i="37"/>
  <c r="CH18" i="37"/>
  <c r="CC18" i="37"/>
  <c r="CB25" i="37"/>
  <c r="CC25" i="37"/>
  <c r="CD25" i="37"/>
  <c r="CH25" i="37"/>
  <c r="CH16" i="37"/>
  <c r="CD16" i="37"/>
  <c r="CC16" i="37"/>
  <c r="CB16" i="37"/>
  <c r="CD24" i="37"/>
  <c r="CC24" i="37"/>
  <c r="CH24" i="37"/>
  <c r="CB24" i="37"/>
  <c r="CH23" i="37"/>
  <c r="CD23" i="37"/>
  <c r="CB23" i="37"/>
  <c r="CC23" i="37"/>
  <c r="CC40" i="37"/>
  <c r="CB40" i="37"/>
  <c r="CH40" i="37"/>
  <c r="CD40" i="37"/>
  <c r="CC41" i="37"/>
  <c r="CH41" i="37"/>
  <c r="CB41" i="37"/>
  <c r="CD41" i="37"/>
  <c r="CH42" i="37"/>
  <c r="CD42" i="37"/>
  <c r="CC42" i="37"/>
  <c r="CB42" i="37"/>
  <c r="CC39" i="37"/>
  <c r="CB39" i="37"/>
  <c r="CH39" i="37"/>
  <c r="CD39" i="37"/>
  <c r="CI53" i="37"/>
  <c r="CL53" i="37"/>
  <c r="CJ53" i="37"/>
  <c r="CK53" i="37"/>
  <c r="CO53" i="37"/>
  <c r="CM53" i="37"/>
  <c r="CN53" i="37"/>
  <c r="CP53" i="37"/>
  <c r="CK55" i="37"/>
  <c r="CI55" i="37"/>
  <c r="CM55" i="37"/>
  <c r="CP55" i="37"/>
  <c r="CO55" i="37"/>
  <c r="CJ55" i="37"/>
  <c r="CL55" i="37"/>
  <c r="CN55" i="37"/>
  <c r="CM56" i="37"/>
  <c r="CP56" i="37"/>
  <c r="CJ56" i="37"/>
  <c r="CL56" i="37"/>
  <c r="CI56" i="37"/>
  <c r="CN56" i="37"/>
  <c r="CO56" i="37"/>
  <c r="CK56" i="37"/>
  <c r="CJ54" i="37"/>
  <c r="CI54" i="37"/>
  <c r="CL54" i="37"/>
  <c r="CK54" i="37"/>
  <c r="CM54" i="37"/>
  <c r="CO54" i="37"/>
  <c r="CN54" i="37"/>
  <c r="CP54" i="37"/>
  <c r="CH60" i="37"/>
  <c r="CI60" i="37"/>
  <c r="BW11" i="37"/>
  <c r="BW9" i="37"/>
  <c r="CC60" i="37"/>
  <c r="BW10" i="37"/>
  <c r="BW8" i="37"/>
  <c r="CD63" i="37"/>
  <c r="CD60" i="37"/>
  <c r="CH63" i="37"/>
  <c r="CK63" i="37"/>
  <c r="CC63" i="37"/>
  <c r="CC62" i="37"/>
  <c r="CD62" i="37"/>
  <c r="CH62" i="37"/>
  <c r="CB62" i="37"/>
  <c r="CC61" i="37"/>
  <c r="CB61" i="37"/>
  <c r="CD61" i="37"/>
  <c r="CH61" i="37"/>
  <c r="CO60" i="37"/>
  <c r="CH48" i="37"/>
  <c r="CB48" i="37"/>
  <c r="CD48" i="37"/>
  <c r="CC48" i="37"/>
  <c r="CH49" i="37"/>
  <c r="CC49" i="37"/>
  <c r="CD49" i="37"/>
  <c r="CB49" i="37"/>
  <c r="CB46" i="37"/>
  <c r="CD46" i="37"/>
  <c r="CH46" i="37"/>
  <c r="CC46" i="37"/>
  <c r="CD47" i="37"/>
  <c r="CH47" i="37"/>
  <c r="CC47" i="37"/>
  <c r="CB47" i="37"/>
  <c r="CK29" i="37"/>
  <c r="CJ29" i="37"/>
  <c r="CP29" i="37"/>
  <c r="CM29" i="37"/>
  <c r="CO29" i="37"/>
  <c r="CN29" i="37"/>
  <c r="CL29" i="37"/>
  <c r="CI29" i="37"/>
  <c r="CP33" i="37"/>
  <c r="CJ33" i="37"/>
  <c r="CL33" i="37"/>
  <c r="CO33" i="37"/>
  <c r="CM33" i="37"/>
  <c r="CN33" i="37"/>
  <c r="CK33" i="37"/>
  <c r="CI33" i="37"/>
  <c r="CP30" i="37"/>
  <c r="CI30" i="37"/>
  <c r="CO30" i="37"/>
  <c r="CK30" i="37"/>
  <c r="CM30" i="37"/>
  <c r="CN30" i="37"/>
  <c r="CL30" i="37"/>
  <c r="CJ30" i="37"/>
  <c r="CN31" i="37"/>
  <c r="CL31" i="37"/>
  <c r="CM31" i="37"/>
  <c r="CJ31" i="37"/>
  <c r="CI31" i="37"/>
  <c r="CP31" i="37"/>
  <c r="CO31" i="37"/>
  <c r="CK31" i="37"/>
  <c r="CK23" i="37"/>
  <c r="CO23" i="37"/>
  <c r="CL23" i="37"/>
  <c r="CP23" i="37"/>
  <c r="CI23" i="37"/>
  <c r="CM23" i="37"/>
  <c r="CN23" i="37"/>
  <c r="CJ23" i="37"/>
  <c r="CI25" i="37"/>
  <c r="CM25" i="37"/>
  <c r="CO25" i="37"/>
  <c r="CP25" i="37"/>
  <c r="CL25" i="37"/>
  <c r="CN25" i="37"/>
  <c r="CJ25" i="37"/>
  <c r="CK25" i="37"/>
  <c r="CN17" i="37"/>
  <c r="AE7" i="37"/>
  <c r="CK17" i="37"/>
  <c r="AA7" i="37"/>
  <c r="CJ17" i="37"/>
  <c r="Y7" i="37"/>
  <c r="CP17" i="37"/>
  <c r="T7" i="37"/>
  <c r="CO17" i="37"/>
  <c r="AF7" i="37"/>
  <c r="CL17" i="37"/>
  <c r="Z7" i="37"/>
  <c r="CM17" i="37"/>
  <c r="AC7" i="37"/>
  <c r="CI17" i="37"/>
  <c r="X7" i="37"/>
  <c r="CM15" i="37"/>
  <c r="AC5" i="37"/>
  <c r="CK15" i="37"/>
  <c r="AA5" i="37"/>
  <c r="CI15" i="37"/>
  <c r="X5" i="37"/>
  <c r="AI64" i="37"/>
  <c r="CO15" i="37"/>
  <c r="AF5" i="37"/>
  <c r="CJ15" i="37"/>
  <c r="Y5" i="37"/>
  <c r="T5" i="37"/>
  <c r="CL15" i="37"/>
  <c r="Z5" i="37"/>
  <c r="CP15" i="37"/>
  <c r="CN15" i="37"/>
  <c r="AE5" i="37"/>
  <c r="CJ24" i="37"/>
  <c r="CI24" i="37"/>
  <c r="CP24" i="37"/>
  <c r="CO24" i="37"/>
  <c r="CM24" i="37"/>
  <c r="CN24" i="37"/>
  <c r="CL24" i="37"/>
  <c r="CK24" i="37"/>
  <c r="CL16" i="37"/>
  <c r="Z6" i="37"/>
  <c r="CO16" i="37"/>
  <c r="AF6" i="37"/>
  <c r="T6" i="37"/>
  <c r="CK16" i="37"/>
  <c r="AA6" i="37"/>
  <c r="CP16" i="37"/>
  <c r="CJ16" i="37"/>
  <c r="Y6" i="37"/>
  <c r="CM16" i="37"/>
  <c r="AC6" i="37"/>
  <c r="CI16" i="37"/>
  <c r="X6" i="37"/>
  <c r="AL61" i="37"/>
  <c r="CN16" i="37"/>
  <c r="AE6" i="37"/>
  <c r="CL18" i="37"/>
  <c r="Z8" i="37"/>
  <c r="CK18" i="37"/>
  <c r="AA8" i="37"/>
  <c r="T8" i="37"/>
  <c r="CM18" i="37"/>
  <c r="AC8" i="37"/>
  <c r="CI18" i="37"/>
  <c r="X8" i="37"/>
  <c r="CP18" i="37"/>
  <c r="CO18" i="37"/>
  <c r="AF8" i="37"/>
  <c r="CN18" i="37"/>
  <c r="AE8" i="37"/>
  <c r="CJ18" i="37"/>
  <c r="Y8" i="37"/>
  <c r="AG8" i="37"/>
  <c r="CJ22" i="37"/>
  <c r="CL22" i="37"/>
  <c r="CI22" i="37"/>
  <c r="CM22" i="37"/>
  <c r="CO22" i="37"/>
  <c r="CK22" i="37"/>
  <c r="CP22" i="37"/>
  <c r="CN22" i="37"/>
  <c r="CJ60" i="37"/>
  <c r="CK60" i="37"/>
  <c r="CL60" i="37"/>
  <c r="CI39" i="37"/>
  <c r="CL39" i="37"/>
  <c r="CJ39" i="37"/>
  <c r="CP39" i="37"/>
  <c r="CO39" i="37"/>
  <c r="CM39" i="37"/>
  <c r="CK39" i="37"/>
  <c r="CN39" i="37"/>
  <c r="CO40" i="37"/>
  <c r="CK40" i="37"/>
  <c r="CN40" i="37"/>
  <c r="CM40" i="37"/>
  <c r="CL40" i="37"/>
  <c r="CJ40" i="37"/>
  <c r="CI40" i="37"/>
  <c r="CP40" i="37"/>
  <c r="CO41" i="37"/>
  <c r="CK41" i="37"/>
  <c r="CM41" i="37"/>
  <c r="CJ41" i="37"/>
  <c r="CI41" i="37"/>
  <c r="CL41" i="37"/>
  <c r="CP41" i="37"/>
  <c r="CN41" i="37"/>
  <c r="CJ42" i="37"/>
  <c r="CP42" i="37"/>
  <c r="CN42" i="37"/>
  <c r="CO42" i="37"/>
  <c r="CL42" i="37"/>
  <c r="CI42" i="37"/>
  <c r="CK42" i="37"/>
  <c r="CM42" i="37"/>
  <c r="CI63" i="37"/>
  <c r="CN63" i="37"/>
  <c r="CL63" i="37"/>
  <c r="CM60" i="37"/>
  <c r="CP60" i="37"/>
  <c r="BX9" i="37"/>
  <c r="BZ9" i="37"/>
  <c r="BY9" i="37"/>
  <c r="CP63" i="37"/>
  <c r="CN60" i="37"/>
  <c r="BZ8" i="37"/>
  <c r="BY8" i="37"/>
  <c r="BX8" i="37"/>
  <c r="BZ11" i="37"/>
  <c r="BY11" i="37"/>
  <c r="BX11" i="37"/>
  <c r="BX10" i="37"/>
  <c r="BY10" i="37"/>
  <c r="BZ10" i="37"/>
  <c r="CJ63" i="37"/>
  <c r="CO63" i="37"/>
  <c r="AG6" i="37"/>
  <c r="CM63" i="37"/>
  <c r="CA10" i="38"/>
  <c r="CA49" i="27"/>
  <c r="AG5" i="37"/>
  <c r="CO61" i="37"/>
  <c r="CJ61" i="37"/>
  <c r="CK61" i="37"/>
  <c r="CP61" i="37"/>
  <c r="CM61" i="37"/>
  <c r="CI61" i="37"/>
  <c r="CN61" i="37"/>
  <c r="CL61" i="37"/>
  <c r="CO62" i="37"/>
  <c r="CP62" i="37"/>
  <c r="CJ62" i="37"/>
  <c r="CK62" i="37"/>
  <c r="CM62" i="37"/>
  <c r="CN62" i="37"/>
  <c r="CI62" i="37"/>
  <c r="CL62" i="37"/>
  <c r="CP46" i="37"/>
  <c r="CM46" i="37"/>
  <c r="CN46" i="37"/>
  <c r="CK46" i="37"/>
  <c r="CO46" i="37"/>
  <c r="CJ46" i="37"/>
  <c r="CL46" i="37"/>
  <c r="CI46" i="37"/>
  <c r="CO47" i="37"/>
  <c r="CM47" i="37"/>
  <c r="CL47" i="37"/>
  <c r="CJ47" i="37"/>
  <c r="CI47" i="37"/>
  <c r="CP47" i="37"/>
  <c r="CN47" i="37"/>
  <c r="CK47" i="37"/>
  <c r="CL49" i="37"/>
  <c r="CM49" i="37"/>
  <c r="CJ49" i="37"/>
  <c r="CI49" i="37"/>
  <c r="CN49" i="37"/>
  <c r="CK49" i="37"/>
  <c r="CP49" i="37"/>
  <c r="CO49" i="37"/>
  <c r="CL48" i="37"/>
  <c r="CK48" i="37"/>
  <c r="CN48" i="37"/>
  <c r="CJ48" i="37"/>
  <c r="CM48" i="37"/>
  <c r="CP48" i="37"/>
  <c r="CI48" i="37"/>
  <c r="CO48" i="37"/>
  <c r="AG7" i="37"/>
  <c r="CA11" i="27"/>
  <c r="CH11" i="27"/>
  <c r="CA9" i="37"/>
  <c r="CA10" i="37"/>
  <c r="CA11" i="37"/>
  <c r="CA8" i="37"/>
  <c r="CB8" i="27"/>
  <c r="CA10" i="27"/>
  <c r="CH10" i="27"/>
  <c r="CD9" i="38"/>
  <c r="CC9" i="38"/>
  <c r="CB9" i="38"/>
  <c r="CB50" i="27"/>
  <c r="CC50" i="27"/>
  <c r="CD50" i="27"/>
  <c r="CA25" i="27"/>
  <c r="CA17" i="38"/>
  <c r="CA17" i="27"/>
  <c r="CC10" i="38"/>
  <c r="CB10" i="38"/>
  <c r="CH10" i="38"/>
  <c r="CD10" i="38"/>
  <c r="CB47" i="27"/>
  <c r="CC47" i="27"/>
  <c r="CD47" i="27"/>
  <c r="CB11" i="38"/>
  <c r="CD11" i="38"/>
  <c r="CC11" i="38"/>
  <c r="CB11" i="27"/>
  <c r="CD11" i="27"/>
  <c r="CD48" i="27"/>
  <c r="CB48" i="27"/>
  <c r="CC48" i="27"/>
  <c r="CA24" i="27"/>
  <c r="CC8" i="38"/>
  <c r="CD8" i="38"/>
  <c r="CB8" i="38"/>
  <c r="CA42" i="27"/>
  <c r="CA43" i="27"/>
  <c r="CH49" i="27"/>
  <c r="CC49" i="27"/>
  <c r="CB49" i="27"/>
  <c r="CD49" i="27"/>
  <c r="CA31" i="27"/>
  <c r="CA63" i="27"/>
  <c r="CA56" i="27"/>
  <c r="CC11" i="27"/>
  <c r="CC9" i="37"/>
  <c r="CH9" i="37"/>
  <c r="CB9" i="37"/>
  <c r="CD9" i="37"/>
  <c r="CD8" i="37"/>
  <c r="CH8" i="37"/>
  <c r="CC8" i="37"/>
  <c r="CB8" i="37"/>
  <c r="CC11" i="37"/>
  <c r="CD11" i="37"/>
  <c r="CB11" i="37"/>
  <c r="CH11" i="37"/>
  <c r="CC10" i="37"/>
  <c r="CD10" i="37"/>
  <c r="CB10" i="37"/>
  <c r="CH10" i="37"/>
  <c r="CC8" i="27"/>
  <c r="CD8" i="27"/>
  <c r="CD10" i="27"/>
  <c r="CC10" i="27"/>
  <c r="CB10" i="27"/>
  <c r="CD61" i="27"/>
  <c r="CB61" i="27"/>
  <c r="CC61" i="27"/>
  <c r="CD62" i="27"/>
  <c r="CC62" i="27"/>
  <c r="CB62" i="27"/>
  <c r="CC43" i="27"/>
  <c r="CB43" i="27"/>
  <c r="CH43" i="27"/>
  <c r="CD43" i="27"/>
  <c r="CB9" i="27"/>
  <c r="CC9" i="27"/>
  <c r="CD9" i="27"/>
  <c r="CP8" i="38"/>
  <c r="CO8" i="38"/>
  <c r="O5" i="38"/>
  <c r="CL8" i="38"/>
  <c r="I5" i="38"/>
  <c r="CM8" i="38"/>
  <c r="L5" i="38"/>
  <c r="CK8" i="38"/>
  <c r="J5" i="38"/>
  <c r="CN8" i="38"/>
  <c r="N5" i="38"/>
  <c r="CJ8" i="38"/>
  <c r="H5" i="38"/>
  <c r="C8" i="38"/>
  <c r="CP11" i="38"/>
  <c r="CN11" i="38"/>
  <c r="N8" i="38"/>
  <c r="CL11" i="38"/>
  <c r="I8" i="38"/>
  <c r="CJ11" i="38"/>
  <c r="H8" i="38"/>
  <c r="CK11" i="38"/>
  <c r="J8" i="38"/>
  <c r="CO11" i="38"/>
  <c r="O8" i="38"/>
  <c r="CM11" i="38"/>
  <c r="L8" i="38"/>
  <c r="CJ10" i="38"/>
  <c r="H7" i="38"/>
  <c r="CL10" i="38"/>
  <c r="I7" i="38"/>
  <c r="D12" i="44"/>
  <c r="CM10" i="38"/>
  <c r="L7" i="38"/>
  <c r="G12" i="44"/>
  <c r="CO10" i="38"/>
  <c r="O7" i="38"/>
  <c r="J12" i="44"/>
  <c r="CN10" i="38"/>
  <c r="N7" i="38"/>
  <c r="I12" i="44"/>
  <c r="CK10" i="38"/>
  <c r="J7" i="38"/>
  <c r="E12" i="44"/>
  <c r="CI10" i="38"/>
  <c r="G7" i="38"/>
  <c r="CP10" i="38"/>
  <c r="C7" i="38"/>
  <c r="CB57" i="27"/>
  <c r="CC57" i="27"/>
  <c r="CD57" i="27"/>
  <c r="CD34" i="27"/>
  <c r="CB34" i="27"/>
  <c r="CC34" i="27"/>
  <c r="CD15" i="38"/>
  <c r="CC15" i="38"/>
  <c r="CB15" i="38"/>
  <c r="CC64" i="27"/>
  <c r="CB64" i="27"/>
  <c r="CD64" i="27"/>
  <c r="CD63" i="27"/>
  <c r="CB63" i="27"/>
  <c r="CH63" i="27"/>
  <c r="CC63" i="27"/>
  <c r="CC40" i="27"/>
  <c r="CD40" i="27"/>
  <c r="CB40" i="27"/>
  <c r="CH24" i="27"/>
  <c r="CD24" i="27"/>
  <c r="CB24" i="27"/>
  <c r="CC24" i="27"/>
  <c r="CJ11" i="27"/>
  <c r="H8" i="27"/>
  <c r="CI11" i="27"/>
  <c r="G8" i="27"/>
  <c r="C8" i="27"/>
  <c r="V9" i="4"/>
  <c r="CK11" i="27"/>
  <c r="J8" i="27"/>
  <c r="CN11" i="27"/>
  <c r="N8" i="27"/>
  <c r="CM11" i="27"/>
  <c r="L8" i="27"/>
  <c r="CP11" i="27"/>
  <c r="CO11" i="27"/>
  <c r="O8" i="27"/>
  <c r="CL11" i="27"/>
  <c r="I8" i="27"/>
  <c r="CH17" i="27"/>
  <c r="CB17" i="27"/>
  <c r="CC17" i="27"/>
  <c r="CD17" i="27"/>
  <c r="CD18" i="27"/>
  <c r="CC18" i="27"/>
  <c r="CB18" i="27"/>
  <c r="CD18" i="38"/>
  <c r="CC18" i="38"/>
  <c r="CB18" i="38"/>
  <c r="CC55" i="27"/>
  <c r="CB55" i="27"/>
  <c r="CD55" i="27"/>
  <c r="CD31" i="27"/>
  <c r="CH31" i="27"/>
  <c r="CC31" i="27"/>
  <c r="CB31" i="27"/>
  <c r="CD41" i="27"/>
  <c r="CB41" i="27"/>
  <c r="CC41" i="27"/>
  <c r="CC23" i="27"/>
  <c r="CD23" i="27"/>
  <c r="CB23" i="27"/>
  <c r="CL48" i="27"/>
  <c r="Z38" i="27"/>
  <c r="CP48" i="27"/>
  <c r="CN48" i="27"/>
  <c r="AE38" i="27"/>
  <c r="CO48" i="27"/>
  <c r="AF38" i="27"/>
  <c r="CK48" i="27"/>
  <c r="AA38" i="27"/>
  <c r="CJ48" i="27"/>
  <c r="Y38" i="27"/>
  <c r="CM48" i="27"/>
  <c r="AC38" i="27"/>
  <c r="CC16" i="27"/>
  <c r="CB16" i="27"/>
  <c r="CD16" i="27"/>
  <c r="CB16" i="38"/>
  <c r="CD16" i="38"/>
  <c r="CC16" i="38"/>
  <c r="CC22" i="27"/>
  <c r="CD22" i="27"/>
  <c r="CB22" i="27"/>
  <c r="CL50" i="27"/>
  <c r="Z40" i="27"/>
  <c r="CM50" i="27"/>
  <c r="AC40" i="27"/>
  <c r="CK50" i="27"/>
  <c r="AA40" i="27"/>
  <c r="CJ50" i="27"/>
  <c r="Y40" i="27"/>
  <c r="AG40" i="27"/>
  <c r="CP50" i="27"/>
  <c r="CN50" i="27"/>
  <c r="AE40" i="27"/>
  <c r="CO50" i="27"/>
  <c r="AF40" i="27"/>
  <c r="CD15" i="27"/>
  <c r="CB15" i="27"/>
  <c r="CC15" i="27"/>
  <c r="CB56" i="27"/>
  <c r="CC56" i="27"/>
  <c r="CH56" i="27"/>
  <c r="CD56" i="27"/>
  <c r="CC30" i="27"/>
  <c r="CD30" i="27"/>
  <c r="CB30" i="27"/>
  <c r="CP49" i="27"/>
  <c r="CJ49" i="27"/>
  <c r="Y39" i="27"/>
  <c r="CN49" i="27"/>
  <c r="AE39" i="27"/>
  <c r="I9" i="44"/>
  <c r="CK49" i="27"/>
  <c r="AA39" i="27"/>
  <c r="E9" i="44"/>
  <c r="CI49" i="27"/>
  <c r="X39" i="27"/>
  <c r="T39" i="27"/>
  <c r="CL49" i="27"/>
  <c r="Z39" i="27"/>
  <c r="D9" i="44"/>
  <c r="CM49" i="27"/>
  <c r="AC39" i="27"/>
  <c r="G9" i="44"/>
  <c r="CO49" i="27"/>
  <c r="AF39" i="27"/>
  <c r="J9" i="44"/>
  <c r="CB42" i="27"/>
  <c r="CH42" i="27"/>
  <c r="CC42" i="27"/>
  <c r="CD42" i="27"/>
  <c r="CK47" i="27"/>
  <c r="AA37" i="27"/>
  <c r="CP47" i="27"/>
  <c r="CL47" i="27"/>
  <c r="Z37" i="27"/>
  <c r="T37" i="27"/>
  <c r="CN47" i="27"/>
  <c r="AE37" i="27"/>
  <c r="CO47" i="27"/>
  <c r="AF37" i="27"/>
  <c r="CJ47" i="27"/>
  <c r="Y37" i="27"/>
  <c r="CM47" i="27"/>
  <c r="AC37" i="27"/>
  <c r="CB54" i="27"/>
  <c r="CC54" i="27"/>
  <c r="CD54" i="27"/>
  <c r="CB29" i="27"/>
  <c r="CC29" i="27"/>
  <c r="CD29" i="27"/>
  <c r="CN8" i="27"/>
  <c r="N5" i="27"/>
  <c r="CM8" i="27"/>
  <c r="L5" i="27"/>
  <c r="CK8" i="27"/>
  <c r="J5" i="27"/>
  <c r="CJ8" i="27"/>
  <c r="H5" i="27"/>
  <c r="CO8" i="27"/>
  <c r="O5" i="27"/>
  <c r="CL8" i="27"/>
  <c r="I5" i="27"/>
  <c r="CP8" i="27"/>
  <c r="CD17" i="38"/>
  <c r="CC17" i="38"/>
  <c r="CB17" i="38"/>
  <c r="CH17" i="38"/>
  <c r="CC25" i="27"/>
  <c r="CB25" i="27"/>
  <c r="CH25" i="27"/>
  <c r="CD25" i="27"/>
  <c r="CM9" i="38"/>
  <c r="L6" i="38"/>
  <c r="CK9" i="38"/>
  <c r="J6" i="38"/>
  <c r="CP9" i="38"/>
  <c r="CO9" i="38"/>
  <c r="O6" i="38"/>
  <c r="CJ9" i="38"/>
  <c r="H6" i="38"/>
  <c r="CN9" i="38"/>
  <c r="N6" i="38"/>
  <c r="CL9" i="38"/>
  <c r="I6" i="38"/>
  <c r="CK10" i="27"/>
  <c r="J7" i="27"/>
  <c r="E4" i="44"/>
  <c r="CP10" i="27"/>
  <c r="CO10" i="27"/>
  <c r="O7" i="27"/>
  <c r="J4" i="44"/>
  <c r="CN10" i="27"/>
  <c r="N7" i="27"/>
  <c r="I4" i="44"/>
  <c r="CJ10" i="27"/>
  <c r="H7" i="27"/>
  <c r="CM10" i="27"/>
  <c r="L7" i="27"/>
  <c r="G4" i="44"/>
  <c r="C7" i="27"/>
  <c r="CI10" i="27"/>
  <c r="G7" i="27"/>
  <c r="CL10" i="27"/>
  <c r="I7" i="27"/>
  <c r="D4" i="44"/>
  <c r="AG38" i="27"/>
  <c r="P5" i="27"/>
  <c r="CL10" i="37"/>
  <c r="I7" i="37"/>
  <c r="CJ10" i="37"/>
  <c r="H7" i="37"/>
  <c r="CI10" i="37"/>
  <c r="G7" i="37"/>
  <c r="CM10" i="37"/>
  <c r="L7" i="37"/>
  <c r="C7" i="37"/>
  <c r="CN10" i="37"/>
  <c r="N7" i="37"/>
  <c r="CP10" i="37"/>
  <c r="CO10" i="37"/>
  <c r="O7" i="37"/>
  <c r="CK10" i="37"/>
  <c r="J7" i="37"/>
  <c r="CN11" i="37"/>
  <c r="N8" i="37"/>
  <c r="C8" i="37"/>
  <c r="CL11" i="37"/>
  <c r="I8" i="37"/>
  <c r="CJ11" i="37"/>
  <c r="H8" i="37"/>
  <c r="CK11" i="37"/>
  <c r="J8" i="37"/>
  <c r="CP11" i="37"/>
  <c r="CM11" i="37"/>
  <c r="L8" i="37"/>
  <c r="CO11" i="37"/>
  <c r="O8" i="37"/>
  <c r="CI11" i="37"/>
  <c r="G8" i="37"/>
  <c r="CI8" i="37"/>
  <c r="G5" i="37"/>
  <c r="CM8" i="37"/>
  <c r="L5" i="37"/>
  <c r="CP8" i="37"/>
  <c r="CO8" i="37"/>
  <c r="O5" i="37"/>
  <c r="CN8" i="37"/>
  <c r="N5" i="37"/>
  <c r="CL8" i="37"/>
  <c r="I5" i="37"/>
  <c r="C5" i="37"/>
  <c r="CJ8" i="37"/>
  <c r="H5" i="37"/>
  <c r="CK8" i="37"/>
  <c r="J5" i="37"/>
  <c r="CO9" i="37"/>
  <c r="O6" i="37"/>
  <c r="CM9" i="37"/>
  <c r="L6" i="37"/>
  <c r="CI9" i="37"/>
  <c r="G6" i="37"/>
  <c r="CN9" i="37"/>
  <c r="N6" i="37"/>
  <c r="CL9" i="37"/>
  <c r="I6" i="37"/>
  <c r="CP9" i="37"/>
  <c r="C6" i="37"/>
  <c r="CK9" i="37"/>
  <c r="J6" i="37"/>
  <c r="CJ9" i="37"/>
  <c r="H6" i="37"/>
  <c r="P6" i="37"/>
  <c r="P5" i="38"/>
  <c r="P6" i="38"/>
  <c r="AG37" i="27"/>
  <c r="CJ25" i="27"/>
  <c r="H23" i="27"/>
  <c r="CN25" i="27"/>
  <c r="N23" i="27"/>
  <c r="CK25" i="27"/>
  <c r="J23" i="27"/>
  <c r="CM25" i="27"/>
  <c r="L23" i="27"/>
  <c r="C23" i="27"/>
  <c r="CO25" i="27"/>
  <c r="O23" i="27"/>
  <c r="CP25" i="27"/>
  <c r="CI25" i="27"/>
  <c r="G23" i="27"/>
  <c r="V11" i="4"/>
  <c r="CL25" i="27"/>
  <c r="I23" i="27"/>
  <c r="AI63" i="27"/>
  <c r="C9" i="44"/>
  <c r="AG39" i="27"/>
  <c r="K9" i="44"/>
  <c r="CP15" i="27"/>
  <c r="CL15" i="27"/>
  <c r="Z5" i="27"/>
  <c r="CJ15" i="27"/>
  <c r="Y5" i="27"/>
  <c r="CM15" i="27"/>
  <c r="AC5" i="27"/>
  <c r="CO15" i="27"/>
  <c r="AF5" i="27"/>
  <c r="CK15" i="27"/>
  <c r="AA5" i="27"/>
  <c r="CN15" i="27"/>
  <c r="AE5" i="27"/>
  <c r="CN41" i="27"/>
  <c r="N38" i="27"/>
  <c r="CJ41" i="27"/>
  <c r="H38" i="27"/>
  <c r="CM41" i="27"/>
  <c r="L38" i="27"/>
  <c r="CP41" i="27"/>
  <c r="CO41" i="27"/>
  <c r="O38" i="27"/>
  <c r="CL41" i="27"/>
  <c r="I38" i="27"/>
  <c r="CK41" i="27"/>
  <c r="J38" i="27"/>
  <c r="P8" i="27"/>
  <c r="CK24" i="27"/>
  <c r="J22" i="27"/>
  <c r="E6" i="44"/>
  <c r="C22" i="27"/>
  <c r="CM24" i="27"/>
  <c r="L22" i="27"/>
  <c r="G6" i="44"/>
  <c r="CJ24" i="27"/>
  <c r="H22" i="27"/>
  <c r="CO24" i="27"/>
  <c r="O22" i="27"/>
  <c r="J6" i="44"/>
  <c r="CI24" i="27"/>
  <c r="G22" i="27"/>
  <c r="CN24" i="27"/>
  <c r="N22" i="27"/>
  <c r="I6" i="44"/>
  <c r="CL24" i="27"/>
  <c r="I22" i="27"/>
  <c r="D6" i="44"/>
  <c r="CP24" i="27"/>
  <c r="T5" i="38"/>
  <c r="CP15" i="38"/>
  <c r="CL15" i="38"/>
  <c r="Z5" i="38"/>
  <c r="CJ15" i="38"/>
  <c r="Y5" i="38"/>
  <c r="CO15" i="38"/>
  <c r="AF5" i="38"/>
  <c r="CN15" i="38"/>
  <c r="AE5" i="38"/>
  <c r="CM15" i="38"/>
  <c r="AC5" i="38"/>
  <c r="CK15" i="38"/>
  <c r="AA5" i="38"/>
  <c r="C4" i="44"/>
  <c r="P7" i="27"/>
  <c r="K4" i="44"/>
  <c r="CM29" i="27"/>
  <c r="AC20" i="27"/>
  <c r="CK29" i="27"/>
  <c r="AA20" i="27"/>
  <c r="CJ29" i="27"/>
  <c r="Y20" i="27"/>
  <c r="CO29" i="27"/>
  <c r="AF20" i="27"/>
  <c r="CP29" i="27"/>
  <c r="CL29" i="27"/>
  <c r="Z20" i="27"/>
  <c r="CN29" i="27"/>
  <c r="AE20" i="27"/>
  <c r="AI64" i="27"/>
  <c r="A9" i="44"/>
  <c r="B9" i="44"/>
  <c r="AL63" i="27"/>
  <c r="CO18" i="38"/>
  <c r="AF8" i="38"/>
  <c r="CM18" i="38"/>
  <c r="AC8" i="38"/>
  <c r="CL18" i="38"/>
  <c r="Z8" i="38"/>
  <c r="CK18" i="38"/>
  <c r="AA8" i="38"/>
  <c r="CJ18" i="38"/>
  <c r="Y8" i="38"/>
  <c r="CN18" i="38"/>
  <c r="AE8" i="38"/>
  <c r="CP18" i="38"/>
  <c r="CM40" i="27"/>
  <c r="L37" i="27"/>
  <c r="CN40" i="27"/>
  <c r="N37" i="27"/>
  <c r="CJ40" i="27"/>
  <c r="H37" i="27"/>
  <c r="CO40" i="27"/>
  <c r="O37" i="27"/>
  <c r="CK40" i="27"/>
  <c r="J37" i="27"/>
  <c r="CP40" i="27"/>
  <c r="CL40" i="27"/>
  <c r="I37" i="27"/>
  <c r="CO64" i="27"/>
  <c r="AF55" i="27"/>
  <c r="CJ64" i="27"/>
  <c r="Y55" i="27"/>
  <c r="CN64" i="27"/>
  <c r="AE55" i="27"/>
  <c r="CK64" i="27"/>
  <c r="AA55" i="27"/>
  <c r="CM64" i="27"/>
  <c r="AC55" i="27"/>
  <c r="CP64" i="27"/>
  <c r="CL64" i="27"/>
  <c r="Z55" i="27"/>
  <c r="CP34" i="27"/>
  <c r="CN34" i="27"/>
  <c r="AE23" i="27"/>
  <c r="CL34" i="27"/>
  <c r="Z23" i="27"/>
  <c r="CJ34" i="27"/>
  <c r="Y23" i="27"/>
  <c r="CM34" i="27"/>
  <c r="AC23" i="27"/>
  <c r="CO34" i="27"/>
  <c r="AF23" i="27"/>
  <c r="CK34" i="27"/>
  <c r="AA23" i="27"/>
  <c r="C12" i="44"/>
  <c r="P7" i="38"/>
  <c r="K12" i="44"/>
  <c r="P8" i="38"/>
  <c r="AI62" i="38"/>
  <c r="CK9" i="27"/>
  <c r="J6" i="27"/>
  <c r="CP9" i="27"/>
  <c r="CJ9" i="27"/>
  <c r="H6" i="27"/>
  <c r="CL9" i="27"/>
  <c r="I6" i="27"/>
  <c r="CM9" i="27"/>
  <c r="L6" i="27"/>
  <c r="CN9" i="27"/>
  <c r="N6" i="27"/>
  <c r="CO9" i="27"/>
  <c r="O6" i="27"/>
  <c r="CM43" i="27"/>
  <c r="L40" i="27"/>
  <c r="CK43" i="27"/>
  <c r="J40" i="27"/>
  <c r="CP43" i="27"/>
  <c r="C40" i="27"/>
  <c r="CJ43" i="27"/>
  <c r="H40" i="27"/>
  <c r="CL43" i="27"/>
  <c r="I40" i="27"/>
  <c r="CN43" i="27"/>
  <c r="N40" i="27"/>
  <c r="CO43" i="27"/>
  <c r="O40" i="27"/>
  <c r="CI43" i="27"/>
  <c r="G40" i="27"/>
  <c r="AB11" i="4"/>
  <c r="CM61" i="27"/>
  <c r="AC52" i="27"/>
  <c r="CJ61" i="27"/>
  <c r="Y52" i="27"/>
  <c r="CP61" i="27"/>
  <c r="CN61" i="27"/>
  <c r="AE52" i="27"/>
  <c r="CK61" i="27"/>
  <c r="AA52" i="27"/>
  <c r="CO61" i="27"/>
  <c r="AF52" i="27"/>
  <c r="CL61" i="27"/>
  <c r="Z52" i="27"/>
  <c r="B4" i="44"/>
  <c r="A4" i="44"/>
  <c r="CJ54" i="27"/>
  <c r="H52" i="27"/>
  <c r="CP54" i="27"/>
  <c r="CK54" i="27"/>
  <c r="J52" i="27"/>
  <c r="CL54" i="27"/>
  <c r="I52" i="27"/>
  <c r="CN54" i="27"/>
  <c r="N52" i="27"/>
  <c r="CO54" i="27"/>
  <c r="O52" i="27"/>
  <c r="CM54" i="27"/>
  <c r="L52" i="27"/>
  <c r="CK30" i="27"/>
  <c r="AA21" i="27"/>
  <c r="CP30" i="27"/>
  <c r="CM30" i="27"/>
  <c r="AC21" i="27"/>
  <c r="CJ30" i="27"/>
  <c r="Y21" i="27"/>
  <c r="CN30" i="27"/>
  <c r="AE21" i="27"/>
  <c r="CO30" i="27"/>
  <c r="AF21" i="27"/>
  <c r="CL30" i="27"/>
  <c r="Z21" i="27"/>
  <c r="AS23" i="41"/>
  <c r="CO23" i="27"/>
  <c r="O21" i="27"/>
  <c r="CK23" i="27"/>
  <c r="J21" i="27"/>
  <c r="CL23" i="27"/>
  <c r="I21" i="27"/>
  <c r="CM23" i="27"/>
  <c r="L21" i="27"/>
  <c r="CP23" i="27"/>
  <c r="CJ23" i="27"/>
  <c r="H21" i="27"/>
  <c r="CN23" i="27"/>
  <c r="N21" i="27"/>
  <c r="CP31" i="27"/>
  <c r="CK31" i="27"/>
  <c r="AA22" i="27"/>
  <c r="E7" i="44"/>
  <c r="T22" i="27"/>
  <c r="CI31" i="27"/>
  <c r="X22" i="27"/>
  <c r="CM31" i="27"/>
  <c r="AC22" i="27"/>
  <c r="G7" i="44"/>
  <c r="CL31" i="27"/>
  <c r="Z22" i="27"/>
  <c r="D7" i="44"/>
  <c r="CJ31" i="27"/>
  <c r="Y22" i="27"/>
  <c r="CO31" i="27"/>
  <c r="AF22" i="27"/>
  <c r="J7" i="44"/>
  <c r="CN31" i="27"/>
  <c r="AE22" i="27"/>
  <c r="I7" i="44"/>
  <c r="CM63" i="27"/>
  <c r="AC54" i="27"/>
  <c r="G11" i="44"/>
  <c r="CK63" i="27"/>
  <c r="AA54" i="27"/>
  <c r="E11" i="44"/>
  <c r="CL63" i="27"/>
  <c r="Z54" i="27"/>
  <c r="D11" i="44"/>
  <c r="T54" i="27"/>
  <c r="CP63" i="27"/>
  <c r="CN63" i="27"/>
  <c r="AE54" i="27"/>
  <c r="I11" i="44"/>
  <c r="CJ63" i="27"/>
  <c r="Y54" i="27"/>
  <c r="CI63" i="27"/>
  <c r="X54" i="27"/>
  <c r="CO63" i="27"/>
  <c r="AF54" i="27"/>
  <c r="J11" i="44"/>
  <c r="AS31" i="41"/>
  <c r="AL63" i="38"/>
  <c r="CI17" i="38"/>
  <c r="X7" i="38"/>
  <c r="CK17" i="38"/>
  <c r="AA7" i="38"/>
  <c r="E13" i="44"/>
  <c r="CM17" i="38"/>
  <c r="AC7" i="38"/>
  <c r="G13" i="44"/>
  <c r="T7" i="38"/>
  <c r="CJ17" i="38"/>
  <c r="Y7" i="38"/>
  <c r="CO17" i="38"/>
  <c r="AF7" i="38"/>
  <c r="J13" i="44"/>
  <c r="CN17" i="38"/>
  <c r="AE7" i="38"/>
  <c r="I13" i="44"/>
  <c r="CP17" i="38"/>
  <c r="CL17" i="38"/>
  <c r="Z7" i="38"/>
  <c r="D13" i="44"/>
  <c r="CN42" i="27"/>
  <c r="N39" i="27"/>
  <c r="I8" i="44"/>
  <c r="CM42" i="27"/>
  <c r="L39" i="27"/>
  <c r="G8" i="44"/>
  <c r="CI42" i="27"/>
  <c r="G39" i="27"/>
  <c r="CO42" i="27"/>
  <c r="O39" i="27"/>
  <c r="J8" i="44"/>
  <c r="CJ42" i="27"/>
  <c r="H39" i="27"/>
  <c r="CK42" i="27"/>
  <c r="J39" i="27"/>
  <c r="E8" i="44"/>
  <c r="CP42" i="27"/>
  <c r="C39" i="27"/>
  <c r="CL42" i="27"/>
  <c r="I39" i="27"/>
  <c r="D8" i="44"/>
  <c r="CM56" i="27"/>
  <c r="L54" i="27"/>
  <c r="G10" i="44"/>
  <c r="CP56" i="27"/>
  <c r="CK56" i="27"/>
  <c r="J54" i="27"/>
  <c r="E10" i="44"/>
  <c r="CL56" i="27"/>
  <c r="I54" i="27"/>
  <c r="D10" i="44"/>
  <c r="CO56" i="27"/>
  <c r="O54" i="27"/>
  <c r="J10" i="44"/>
  <c r="CJ56" i="27"/>
  <c r="H54" i="27"/>
  <c r="CI56" i="27"/>
  <c r="G54" i="27"/>
  <c r="CN56" i="27"/>
  <c r="N54" i="27"/>
  <c r="I10" i="44"/>
  <c r="C54" i="27"/>
  <c r="CP22" i="27"/>
  <c r="CJ22" i="27"/>
  <c r="H20" i="27"/>
  <c r="CN22" i="27"/>
  <c r="N20" i="27"/>
  <c r="CM22" i="27"/>
  <c r="L20" i="27"/>
  <c r="CO22" i="27"/>
  <c r="O20" i="27"/>
  <c r="CL22" i="27"/>
  <c r="I20" i="27"/>
  <c r="CK22" i="27"/>
  <c r="J20" i="27"/>
  <c r="T6" i="38"/>
  <c r="CO16" i="38"/>
  <c r="AF6" i="38"/>
  <c r="CM16" i="38"/>
  <c r="AC6" i="38"/>
  <c r="CL16" i="38"/>
  <c r="Z6" i="38"/>
  <c r="CP16" i="38"/>
  <c r="CN16" i="38"/>
  <c r="AE6" i="38"/>
  <c r="CJ16" i="38"/>
  <c r="Y6" i="38"/>
  <c r="AG6" i="38"/>
  <c r="CK16" i="38"/>
  <c r="AA6" i="38"/>
  <c r="CM16" i="27"/>
  <c r="AC6" i="27"/>
  <c r="CJ16" i="27"/>
  <c r="Y6" i="27"/>
  <c r="CK16" i="27"/>
  <c r="AA6" i="27"/>
  <c r="CL16" i="27"/>
  <c r="Z6" i="27"/>
  <c r="CP16" i="27"/>
  <c r="CO16" i="27"/>
  <c r="AF6" i="27"/>
  <c r="CN16" i="27"/>
  <c r="AE6" i="27"/>
  <c r="CN55" i="27"/>
  <c r="N53" i="27"/>
  <c r="CK55" i="27"/>
  <c r="J53" i="27"/>
  <c r="CJ55" i="27"/>
  <c r="H53" i="27"/>
  <c r="C53" i="27"/>
  <c r="CL55" i="27"/>
  <c r="I53" i="27"/>
  <c r="CP55" i="27"/>
  <c r="CM55" i="27"/>
  <c r="L53" i="27"/>
  <c r="CO55" i="27"/>
  <c r="O53" i="27"/>
  <c r="CO18" i="27"/>
  <c r="AF8" i="27"/>
  <c r="CK18" i="27"/>
  <c r="AA8" i="27"/>
  <c r="CL18" i="27"/>
  <c r="Z8" i="27"/>
  <c r="CP18" i="27"/>
  <c r="CN18" i="27"/>
  <c r="AE8" i="27"/>
  <c r="CM18" i="27"/>
  <c r="AC8" i="27"/>
  <c r="CJ18" i="27"/>
  <c r="Y8" i="27"/>
  <c r="CN17" i="27"/>
  <c r="AE7" i="27"/>
  <c r="I5" i="44"/>
  <c r="CP17" i="27"/>
  <c r="CM17" i="27"/>
  <c r="AC7" i="27"/>
  <c r="G5" i="44"/>
  <c r="CK17" i="27"/>
  <c r="AA7" i="27"/>
  <c r="E5" i="44"/>
  <c r="CO17" i="27"/>
  <c r="AF7" i="27"/>
  <c r="J5" i="44"/>
  <c r="CJ17" i="27"/>
  <c r="Y7" i="27"/>
  <c r="CI17" i="27"/>
  <c r="X7" i="27"/>
  <c r="T7" i="27"/>
  <c r="CL17" i="27"/>
  <c r="Z7" i="27"/>
  <c r="D5" i="44"/>
  <c r="AS54" i="41"/>
  <c r="AS54" i="34"/>
  <c r="BB54" i="34"/>
  <c r="BC54" i="34"/>
  <c r="CO57" i="27"/>
  <c r="O55" i="27"/>
  <c r="CL57" i="27"/>
  <c r="I55" i="27"/>
  <c r="CP57" i="27"/>
  <c r="CJ57" i="27"/>
  <c r="H55" i="27"/>
  <c r="CN57" i="27"/>
  <c r="N55" i="27"/>
  <c r="CM57" i="27"/>
  <c r="L55" i="27"/>
  <c r="CK57" i="27"/>
  <c r="J55" i="27"/>
  <c r="B12" i="44"/>
  <c r="A12" i="44"/>
  <c r="CO62" i="27"/>
  <c r="AF53" i="27"/>
  <c r="CN62" i="27"/>
  <c r="AE53" i="27"/>
  <c r="CK62" i="27"/>
  <c r="AA53" i="27"/>
  <c r="CJ62" i="27"/>
  <c r="Y53" i="27"/>
  <c r="CL62" i="27"/>
  <c r="Z53" i="27"/>
  <c r="CM62" i="27"/>
  <c r="AC53" i="27"/>
  <c r="CP62" i="27"/>
  <c r="AG8" i="38"/>
  <c r="P8" i="37"/>
  <c r="P5" i="37"/>
  <c r="AI62" i="37"/>
  <c r="AG6" i="27"/>
  <c r="AL63" i="37"/>
  <c r="P7" i="37"/>
  <c r="AG5" i="38"/>
  <c r="AG5" i="27"/>
  <c r="AG53" i="27"/>
  <c r="AG8" i="27"/>
  <c r="AG55" i="27"/>
  <c r="AS55" i="34"/>
  <c r="BB55" i="34"/>
  <c r="BC55" i="34"/>
  <c r="AS55" i="41"/>
  <c r="P54" i="27"/>
  <c r="K10" i="44"/>
  <c r="C10" i="44"/>
  <c r="A8" i="44"/>
  <c r="B8" i="44"/>
  <c r="AS24" i="34"/>
  <c r="AG54" i="27"/>
  <c r="K11" i="44"/>
  <c r="C11" i="44"/>
  <c r="B7" i="44"/>
  <c r="A7" i="44"/>
  <c r="AS49" i="41"/>
  <c r="BB49" i="41"/>
  <c r="AS49" i="34"/>
  <c r="AG52" i="27"/>
  <c r="AL64" i="27"/>
  <c r="P6" i="27"/>
  <c r="AG23" i="27"/>
  <c r="AG20" i="27"/>
  <c r="C6" i="44"/>
  <c r="P22" i="27"/>
  <c r="K6" i="44"/>
  <c r="P38" i="27"/>
  <c r="AS56" i="41"/>
  <c r="AS56" i="34"/>
  <c r="BB56" i="34"/>
  <c r="P55" i="27"/>
  <c r="AS24" i="41"/>
  <c r="A5" i="44"/>
  <c r="B5" i="44"/>
  <c r="AG22" i="27"/>
  <c r="K7" i="44"/>
  <c r="C7" i="44"/>
  <c r="AG21" i="27"/>
  <c r="AS30" i="34"/>
  <c r="AS40" i="41"/>
  <c r="BB40" i="41"/>
  <c r="AS40" i="34"/>
  <c r="AS25" i="41"/>
  <c r="AI62" i="27"/>
  <c r="P37" i="27"/>
  <c r="AS10" i="41"/>
  <c r="BB10" i="41"/>
  <c r="AS10" i="34"/>
  <c r="AS8" i="34"/>
  <c r="AS8" i="41"/>
  <c r="C5" i="44"/>
  <c r="AG7" i="27"/>
  <c r="K5" i="44"/>
  <c r="AS17" i="34"/>
  <c r="AS17" i="41"/>
  <c r="BB17" i="41"/>
  <c r="AL62" i="27"/>
  <c r="AS15" i="41"/>
  <c r="AS15" i="34"/>
  <c r="C8" i="44"/>
  <c r="P39" i="27"/>
  <c r="K8" i="44"/>
  <c r="P21" i="27"/>
  <c r="F26" i="41"/>
  <c r="BB23" i="41"/>
  <c r="BC23" i="41"/>
  <c r="F29" i="41"/>
  <c r="D30" i="41"/>
  <c r="AS41" i="34"/>
  <c r="AS41" i="41"/>
  <c r="BB41" i="41"/>
  <c r="P52" i="27"/>
  <c r="AS63" i="41"/>
  <c r="B348" i="35"/>
  <c r="AS63" i="34"/>
  <c r="BB63" i="34"/>
  <c r="P40" i="27"/>
  <c r="AS62" i="41"/>
  <c r="J338" i="35"/>
  <c r="AS62" i="34"/>
  <c r="BB62" i="34"/>
  <c r="BC62" i="34"/>
  <c r="AS29" i="34"/>
  <c r="AI64" i="38"/>
  <c r="A6" i="44"/>
  <c r="B6" i="44"/>
  <c r="AI65" i="27"/>
  <c r="AS23" i="34"/>
  <c r="F11" i="41"/>
  <c r="BB54" i="41"/>
  <c r="BC54" i="41"/>
  <c r="D15" i="41"/>
  <c r="F14" i="41"/>
  <c r="P53" i="27"/>
  <c r="AL61" i="38"/>
  <c r="P20" i="27"/>
  <c r="A10" i="44"/>
  <c r="B10" i="44"/>
  <c r="AG7" i="38"/>
  <c r="K13" i="44"/>
  <c r="C13" i="44"/>
  <c r="B13" i="44"/>
  <c r="A13" i="44"/>
  <c r="W30" i="41"/>
  <c r="U27" i="41"/>
  <c r="W28" i="41"/>
  <c r="BB31" i="41"/>
  <c r="BC31" i="41"/>
  <c r="B11" i="44"/>
  <c r="A11" i="44"/>
  <c r="AS39" i="34"/>
  <c r="AS39" i="41"/>
  <c r="AS33" i="41"/>
  <c r="AS16" i="34"/>
  <c r="AS16" i="41"/>
  <c r="BB16" i="41"/>
  <c r="AL65" i="27"/>
  <c r="P23" i="27"/>
  <c r="BC56" i="34"/>
  <c r="BD54" i="34"/>
  <c r="BE54" i="34"/>
  <c r="BC16" i="41"/>
  <c r="BC63" i="34"/>
  <c r="BD61" i="34"/>
  <c r="BE61" i="34"/>
  <c r="BB16" i="34"/>
  <c r="BC16" i="34"/>
  <c r="U15" i="34"/>
  <c r="W14" i="34"/>
  <c r="W11" i="34"/>
  <c r="BD29" i="41"/>
  <c r="BE29" i="41"/>
  <c r="BD31" i="41"/>
  <c r="BE31" i="41"/>
  <c r="F29" i="34"/>
  <c r="F26" i="34"/>
  <c r="D30" i="34"/>
  <c r="BB23" i="34"/>
  <c r="BD60" i="34"/>
  <c r="BE60" i="34"/>
  <c r="BD62" i="34"/>
  <c r="BE62" i="34"/>
  <c r="AS48" i="34"/>
  <c r="AS48" i="41"/>
  <c r="BB48" i="41"/>
  <c r="AS9" i="34"/>
  <c r="BB8" i="34"/>
  <c r="BC8" i="34"/>
  <c r="D11" i="34"/>
  <c r="F16" i="34"/>
  <c r="D13" i="34"/>
  <c r="D12" i="34"/>
  <c r="BB10" i="34"/>
  <c r="F13" i="34"/>
  <c r="F15" i="34"/>
  <c r="BB30" i="34"/>
  <c r="BC30" i="34"/>
  <c r="U30" i="34"/>
  <c r="W29" i="34"/>
  <c r="W26" i="34"/>
  <c r="D14" i="41"/>
  <c r="D16" i="41"/>
  <c r="F12" i="41"/>
  <c r="BB56" i="41"/>
  <c r="BC56" i="41"/>
  <c r="BD56" i="41"/>
  <c r="BE56" i="41"/>
  <c r="F47" i="34"/>
  <c r="D42" i="34"/>
  <c r="D44" i="34"/>
  <c r="BB39" i="34"/>
  <c r="BC39" i="34"/>
  <c r="BC42" i="34"/>
  <c r="W13" i="34"/>
  <c r="U12" i="34"/>
  <c r="BB17" i="34"/>
  <c r="BC17" i="34"/>
  <c r="W15" i="34"/>
  <c r="F27" i="41"/>
  <c r="D31" i="41"/>
  <c r="D29" i="41"/>
  <c r="BB25" i="41"/>
  <c r="BC25" i="41"/>
  <c r="BB55" i="41"/>
  <c r="BC55" i="41"/>
  <c r="D12" i="41"/>
  <c r="F13" i="41"/>
  <c r="F15" i="41"/>
  <c r="AS31" i="34"/>
  <c r="U29" i="41"/>
  <c r="BB33" i="41"/>
  <c r="BC33" i="41"/>
  <c r="U31" i="41"/>
  <c r="W27" i="41"/>
  <c r="AS9" i="41"/>
  <c r="BB9" i="41"/>
  <c r="BC9" i="41"/>
  <c r="BB62" i="41"/>
  <c r="BC62" i="41"/>
  <c r="U12" i="41"/>
  <c r="W15" i="41"/>
  <c r="W13" i="41"/>
  <c r="BD63" i="34"/>
  <c r="BE63" i="34"/>
  <c r="BC41" i="41"/>
  <c r="F46" i="34"/>
  <c r="D43" i="34"/>
  <c r="BB41" i="34"/>
  <c r="BC41" i="34"/>
  <c r="F44" i="34"/>
  <c r="U13" i="34"/>
  <c r="BB15" i="34"/>
  <c r="BC15" i="34"/>
  <c r="U11" i="34"/>
  <c r="BC18" i="34"/>
  <c r="W16" i="34"/>
  <c r="BB15" i="41"/>
  <c r="BC15" i="41"/>
  <c r="BC18" i="41"/>
  <c r="BD18" i="41"/>
  <c r="BE18" i="41"/>
  <c r="BC17" i="41"/>
  <c r="AS22" i="34"/>
  <c r="W43" i="34"/>
  <c r="BB49" i="34"/>
  <c r="U45" i="34"/>
  <c r="U47" i="34"/>
  <c r="BB39" i="41"/>
  <c r="BC39" i="41"/>
  <c r="BC42" i="41"/>
  <c r="AS25" i="34"/>
  <c r="AS46" i="34"/>
  <c r="AS46" i="41"/>
  <c r="BB46" i="41"/>
  <c r="BC46" i="41"/>
  <c r="U28" i="34"/>
  <c r="W31" i="34"/>
  <c r="U26" i="34"/>
  <c r="BB29" i="34"/>
  <c r="BC29" i="34"/>
  <c r="BB63" i="41"/>
  <c r="BC63" i="41"/>
  <c r="W12" i="41"/>
  <c r="U14" i="41"/>
  <c r="U16" i="41"/>
  <c r="BB8" i="41"/>
  <c r="BC8" i="41"/>
  <c r="D46" i="34"/>
  <c r="F42" i="34"/>
  <c r="BB40" i="34"/>
  <c r="BC40" i="34"/>
  <c r="F45" i="34"/>
  <c r="BC40" i="41"/>
  <c r="F28" i="41"/>
  <c r="D27" i="41"/>
  <c r="F30" i="41"/>
  <c r="BB24" i="41"/>
  <c r="BC24" i="41"/>
  <c r="AS47" i="41"/>
  <c r="BB47" i="41"/>
  <c r="AS47" i="34"/>
  <c r="F28" i="34"/>
  <c r="F30" i="34"/>
  <c r="D27" i="34"/>
  <c r="BB24" i="34"/>
  <c r="BD55" i="34"/>
  <c r="BE55" i="34"/>
  <c r="BD53" i="34"/>
  <c r="BE53" i="34"/>
  <c r="BF63" i="34"/>
  <c r="BG63" i="34"/>
  <c r="BD39" i="41"/>
  <c r="BE39" i="41"/>
  <c r="BC47" i="41"/>
  <c r="BF61" i="34"/>
  <c r="BG61" i="34"/>
  <c r="BD41" i="34"/>
  <c r="BE41" i="34"/>
  <c r="BD56" i="34"/>
  <c r="BE56" i="34"/>
  <c r="BF53" i="34"/>
  <c r="BD40" i="34"/>
  <c r="BE40" i="34"/>
  <c r="BC11" i="41"/>
  <c r="BD11" i="41"/>
  <c r="BE11" i="41"/>
  <c r="BC10" i="41"/>
  <c r="BD8" i="41"/>
  <c r="BE8" i="41"/>
  <c r="BD18" i="34"/>
  <c r="BE18" i="34"/>
  <c r="BD16" i="41"/>
  <c r="BE16" i="41"/>
  <c r="BC24" i="34"/>
  <c r="BC49" i="41"/>
  <c r="BD15" i="41"/>
  <c r="BE15" i="41"/>
  <c r="BF18" i="41"/>
  <c r="BD42" i="41"/>
  <c r="BE42" i="41"/>
  <c r="BD17" i="34"/>
  <c r="BE17" i="34"/>
  <c r="BF54" i="34"/>
  <c r="BF55" i="34"/>
  <c r="W42" i="34"/>
  <c r="U46" i="34"/>
  <c r="BB47" i="34"/>
  <c r="BC47" i="34"/>
  <c r="W45" i="34"/>
  <c r="BD15" i="34"/>
  <c r="BE15" i="34"/>
  <c r="BD60" i="41"/>
  <c r="BE60" i="41"/>
  <c r="BD62" i="41"/>
  <c r="BE62" i="41"/>
  <c r="BD23" i="41"/>
  <c r="BE23" i="41"/>
  <c r="BD25" i="41"/>
  <c r="BE25" i="41"/>
  <c r="BD42" i="34"/>
  <c r="BE42" i="34"/>
  <c r="BF60" i="34"/>
  <c r="W47" i="34"/>
  <c r="BB46" i="34"/>
  <c r="BC46" i="34"/>
  <c r="U44" i="34"/>
  <c r="U42" i="34"/>
  <c r="D26" i="34"/>
  <c r="D28" i="34"/>
  <c r="F31" i="34"/>
  <c r="BB22" i="34"/>
  <c r="BC22" i="34"/>
  <c r="BB9" i="34"/>
  <c r="BC9" i="34"/>
  <c r="F11" i="34"/>
  <c r="F14" i="34"/>
  <c r="D15" i="34"/>
  <c r="W28" i="34"/>
  <c r="BC33" i="34"/>
  <c r="W30" i="34"/>
  <c r="BB31" i="34"/>
  <c r="BC31" i="34"/>
  <c r="U27" i="34"/>
  <c r="BD39" i="34"/>
  <c r="BE39" i="34"/>
  <c r="BC11" i="34"/>
  <c r="BC48" i="41"/>
  <c r="BD48" i="41"/>
  <c r="BE48" i="41"/>
  <c r="BB48" i="34"/>
  <c r="BC48" i="34"/>
  <c r="W46" i="34"/>
  <c r="U43" i="34"/>
  <c r="W44" i="34"/>
  <c r="BC23" i="34"/>
  <c r="BD54" i="41"/>
  <c r="BE54" i="41"/>
  <c r="BD63" i="41"/>
  <c r="BE63" i="41"/>
  <c r="BD61" i="41"/>
  <c r="BE61" i="41"/>
  <c r="BD22" i="41"/>
  <c r="BE22" i="41"/>
  <c r="BD24" i="41"/>
  <c r="BE24" i="41"/>
  <c r="BD40" i="41"/>
  <c r="BE40" i="41"/>
  <c r="BC49" i="34"/>
  <c r="BD17" i="41"/>
  <c r="BE17" i="41"/>
  <c r="BD41" i="41"/>
  <c r="BE41" i="41"/>
  <c r="BD33" i="41"/>
  <c r="BE33" i="41"/>
  <c r="BF33" i="41"/>
  <c r="BD30" i="41"/>
  <c r="BE30" i="41"/>
  <c r="BF30" i="41"/>
  <c r="BF56" i="34"/>
  <c r="F27" i="34"/>
  <c r="BB25" i="34"/>
  <c r="BC25" i="34"/>
  <c r="D29" i="34"/>
  <c r="D31" i="34"/>
  <c r="BD55" i="41"/>
  <c r="BE55" i="41"/>
  <c r="BD53" i="41"/>
  <c r="BE53" i="41"/>
  <c r="BF53" i="41"/>
  <c r="BC10" i="34"/>
  <c r="BD10" i="34"/>
  <c r="BE10" i="34"/>
  <c r="BF62" i="34"/>
  <c r="BD16" i="34"/>
  <c r="BE16" i="34"/>
  <c r="BF39" i="34"/>
  <c r="BH39" i="34"/>
  <c r="BD10" i="41"/>
  <c r="BE10" i="41"/>
  <c r="BF40" i="34"/>
  <c r="BG40" i="34"/>
  <c r="BD49" i="41"/>
  <c r="BE49" i="41"/>
  <c r="BH63" i="34"/>
  <c r="BH61" i="34"/>
  <c r="BD22" i="34"/>
  <c r="BE22" i="34"/>
  <c r="BD25" i="34"/>
  <c r="BE25" i="34"/>
  <c r="BD47" i="41"/>
  <c r="BE47" i="41"/>
  <c r="BF48" i="41"/>
  <c r="BD9" i="41"/>
  <c r="BE9" i="41"/>
  <c r="BF10" i="41"/>
  <c r="BF41" i="34"/>
  <c r="BG41" i="34"/>
  <c r="BF29" i="41"/>
  <c r="BG29" i="41"/>
  <c r="BF8" i="41"/>
  <c r="BG8" i="41"/>
  <c r="BD49" i="34"/>
  <c r="BE49" i="34"/>
  <c r="BF61" i="41"/>
  <c r="BH61" i="41"/>
  <c r="BF11" i="41"/>
  <c r="BG11" i="41"/>
  <c r="BF15" i="34"/>
  <c r="BH15" i="34"/>
  <c r="BF17" i="41"/>
  <c r="BF63" i="41"/>
  <c r="BG63" i="41"/>
  <c r="BF16" i="34"/>
  <c r="BG16" i="34"/>
  <c r="BF22" i="41"/>
  <c r="BH22" i="41"/>
  <c r="BF41" i="41"/>
  <c r="BH41" i="41"/>
  <c r="BF18" i="34"/>
  <c r="BH18" i="34"/>
  <c r="BH11" i="41"/>
  <c r="BF15" i="41"/>
  <c r="BH15" i="41"/>
  <c r="BF55" i="41"/>
  <c r="BG55" i="41"/>
  <c r="BG39" i="34"/>
  <c r="BF31" i="41"/>
  <c r="BH31" i="41"/>
  <c r="BF24" i="41"/>
  <c r="BD11" i="34"/>
  <c r="BE11" i="34"/>
  <c r="BD48" i="34"/>
  <c r="BE48" i="34"/>
  <c r="BD46" i="41"/>
  <c r="BE46" i="41"/>
  <c r="BF39" i="41"/>
  <c r="BF42" i="41"/>
  <c r="BF16" i="41"/>
  <c r="BH16" i="41"/>
  <c r="BG18" i="41"/>
  <c r="BH18" i="41"/>
  <c r="BH41" i="34"/>
  <c r="BH53" i="34"/>
  <c r="BG53" i="34"/>
  <c r="BG53" i="41"/>
  <c r="BH53" i="41"/>
  <c r="BG56" i="34"/>
  <c r="BH56" i="34"/>
  <c r="BF40" i="41"/>
  <c r="BF17" i="34"/>
  <c r="BF42" i="34"/>
  <c r="BF62" i="41"/>
  <c r="BG55" i="34"/>
  <c r="BH55" i="34"/>
  <c r="BD33" i="34"/>
  <c r="BE33" i="34"/>
  <c r="BD30" i="34"/>
  <c r="BE30" i="34"/>
  <c r="BD46" i="34"/>
  <c r="BE46" i="34"/>
  <c r="BG60" i="34"/>
  <c r="BH60" i="34"/>
  <c r="BF25" i="41"/>
  <c r="BF60" i="41"/>
  <c r="BD47" i="34"/>
  <c r="BE47" i="34"/>
  <c r="BG54" i="34"/>
  <c r="BH54" i="34"/>
  <c r="BH62" i="34"/>
  <c r="BG62" i="34"/>
  <c r="BH30" i="41"/>
  <c r="BG30" i="41"/>
  <c r="BH17" i="41"/>
  <c r="BG17" i="41"/>
  <c r="BF54" i="41"/>
  <c r="BF56" i="41"/>
  <c r="BD9" i="34"/>
  <c r="BE9" i="34"/>
  <c r="BF9" i="34"/>
  <c r="BD8" i="34"/>
  <c r="BE8" i="34"/>
  <c r="BF23" i="41"/>
  <c r="BH33" i="41"/>
  <c r="BG33" i="41"/>
  <c r="BD23" i="34"/>
  <c r="BE23" i="34"/>
  <c r="BD29" i="34"/>
  <c r="BE29" i="34"/>
  <c r="BD31" i="34"/>
  <c r="BE31" i="34"/>
  <c r="BD24" i="34"/>
  <c r="BE24" i="34"/>
  <c r="BH55" i="41"/>
  <c r="BF47" i="41"/>
  <c r="BG47" i="41"/>
  <c r="BH40" i="34"/>
  <c r="BI39" i="34"/>
  <c r="BJ39" i="34"/>
  <c r="BH29" i="41"/>
  <c r="BF46" i="41"/>
  <c r="BF25" i="34"/>
  <c r="BF46" i="34"/>
  <c r="BH46" i="34"/>
  <c r="BF9" i="41"/>
  <c r="BF22" i="34"/>
  <c r="BH22" i="34"/>
  <c r="BG31" i="41"/>
  <c r="BI31" i="41"/>
  <c r="BG18" i="34"/>
  <c r="BG15" i="41"/>
  <c r="BH63" i="41"/>
  <c r="BG15" i="34"/>
  <c r="BG41" i="41"/>
  <c r="BG61" i="41"/>
  <c r="BH8" i="41"/>
  <c r="BG16" i="41"/>
  <c r="BH16" i="34"/>
  <c r="BI40" i="34"/>
  <c r="BK40" i="34"/>
  <c r="BG22" i="41"/>
  <c r="BF31" i="34"/>
  <c r="BG31" i="34"/>
  <c r="BF29" i="34"/>
  <c r="BH29" i="34"/>
  <c r="BF49" i="41"/>
  <c r="BG49" i="41"/>
  <c r="BF24" i="34"/>
  <c r="BH24" i="34"/>
  <c r="BF48" i="34"/>
  <c r="BG48" i="34"/>
  <c r="BF8" i="34"/>
  <c r="BG8" i="34"/>
  <c r="BF47" i="34"/>
  <c r="BH47" i="34"/>
  <c r="BH47" i="41"/>
  <c r="BF49" i="34"/>
  <c r="BH49" i="34"/>
  <c r="BH24" i="41"/>
  <c r="BG24" i="41"/>
  <c r="BG25" i="34"/>
  <c r="BH25" i="34"/>
  <c r="BG9" i="41"/>
  <c r="BH9" i="41"/>
  <c r="BG42" i="41"/>
  <c r="BH42" i="41"/>
  <c r="BI56" i="34"/>
  <c r="BH39" i="41"/>
  <c r="BG39" i="41"/>
  <c r="BG46" i="41"/>
  <c r="BH46" i="41"/>
  <c r="BF23" i="34"/>
  <c r="BH9" i="34"/>
  <c r="BG9" i="34"/>
  <c r="BH60" i="41"/>
  <c r="BG60" i="41"/>
  <c r="BG46" i="34"/>
  <c r="BI55" i="34"/>
  <c r="BG10" i="41"/>
  <c r="BH10" i="41"/>
  <c r="BH56" i="41"/>
  <c r="BG56" i="41"/>
  <c r="BI63" i="34"/>
  <c r="BI62" i="34"/>
  <c r="BG25" i="41"/>
  <c r="BH25" i="41"/>
  <c r="BF30" i="34"/>
  <c r="BI33" i="41"/>
  <c r="BG17" i="34"/>
  <c r="BH17" i="34"/>
  <c r="BH23" i="41"/>
  <c r="BG23" i="41"/>
  <c r="BH54" i="41"/>
  <c r="BG54" i="41"/>
  <c r="BF33" i="34"/>
  <c r="BI29" i="41"/>
  <c r="BI30" i="41"/>
  <c r="BG62" i="41"/>
  <c r="BH62" i="41"/>
  <c r="BH48" i="41"/>
  <c r="BG48" i="41"/>
  <c r="BI18" i="41"/>
  <c r="BI17" i="41"/>
  <c r="BI61" i="34"/>
  <c r="BI60" i="34"/>
  <c r="BF11" i="34"/>
  <c r="BG42" i="34"/>
  <c r="BH42" i="34"/>
  <c r="BG40" i="41"/>
  <c r="BH40" i="41"/>
  <c r="BI54" i="34"/>
  <c r="BI53" i="34"/>
  <c r="BF10" i="34"/>
  <c r="BI15" i="34"/>
  <c r="BJ15" i="34"/>
  <c r="BH31" i="34"/>
  <c r="BG29" i="34"/>
  <c r="BG22" i="34"/>
  <c r="BK39" i="34"/>
  <c r="BG24" i="34"/>
  <c r="BI24" i="34"/>
  <c r="BI15" i="41"/>
  <c r="BK15" i="41"/>
  <c r="BH8" i="34"/>
  <c r="BI8" i="34"/>
  <c r="BH49" i="41"/>
  <c r="BI48" i="41"/>
  <c r="BG49" i="34"/>
  <c r="BJ40" i="34"/>
  <c r="BH48" i="34"/>
  <c r="BI16" i="41"/>
  <c r="BJ16" i="41"/>
  <c r="BI16" i="34"/>
  <c r="BJ16" i="34"/>
  <c r="BG47" i="34"/>
  <c r="BI46" i="34"/>
  <c r="BI42" i="41"/>
  <c r="BJ42" i="41"/>
  <c r="BI18" i="34"/>
  <c r="BJ18" i="34"/>
  <c r="BI8" i="41"/>
  <c r="BI9" i="41"/>
  <c r="BI53" i="41"/>
  <c r="BK53" i="41"/>
  <c r="BJ56" i="34"/>
  <c r="BK56" i="34"/>
  <c r="BI55" i="41"/>
  <c r="BK55" i="41"/>
  <c r="BI41" i="41"/>
  <c r="BJ54" i="34"/>
  <c r="BK54" i="34"/>
  <c r="BI42" i="34"/>
  <c r="BI41" i="34"/>
  <c r="BG33" i="34"/>
  <c r="BH33" i="34"/>
  <c r="BI54" i="41"/>
  <c r="BK33" i="41"/>
  <c r="BJ33" i="41"/>
  <c r="BJ62" i="34"/>
  <c r="BK62" i="34"/>
  <c r="BI56" i="41"/>
  <c r="BH11" i="34"/>
  <c r="BG11" i="34"/>
  <c r="BI9" i="34"/>
  <c r="BI62" i="41"/>
  <c r="BI63" i="41"/>
  <c r="BH30" i="34"/>
  <c r="BG30" i="34"/>
  <c r="BK63" i="34"/>
  <c r="BJ63" i="34"/>
  <c r="BK15" i="34"/>
  <c r="BI11" i="41"/>
  <c r="BI10" i="41"/>
  <c r="BI60" i="41"/>
  <c r="BI61" i="41"/>
  <c r="BI47" i="41"/>
  <c r="BI46" i="41"/>
  <c r="BH10" i="34"/>
  <c r="BG10" i="34"/>
  <c r="BI39" i="41"/>
  <c r="BI40" i="41"/>
  <c r="BJ60" i="34"/>
  <c r="BK60" i="34"/>
  <c r="BJ17" i="41"/>
  <c r="BK17" i="41"/>
  <c r="BK30" i="41"/>
  <c r="BJ30" i="41"/>
  <c r="BI17" i="34"/>
  <c r="BJ55" i="34"/>
  <c r="BK55" i="34"/>
  <c r="BK53" i="34"/>
  <c r="BJ53" i="34"/>
  <c r="BK61" i="34"/>
  <c r="BJ61" i="34"/>
  <c r="BJ18" i="41"/>
  <c r="BK18" i="41"/>
  <c r="BK29" i="41"/>
  <c r="BJ29" i="41"/>
  <c r="BI23" i="41"/>
  <c r="BI22" i="41"/>
  <c r="BJ31" i="41"/>
  <c r="BK31" i="41"/>
  <c r="BI25" i="41"/>
  <c r="BI24" i="41"/>
  <c r="BI47" i="34"/>
  <c r="BG23" i="34"/>
  <c r="BH23" i="34"/>
  <c r="BI25" i="34"/>
  <c r="BI49" i="41"/>
  <c r="BK18" i="34"/>
  <c r="BK16" i="41"/>
  <c r="BK16" i="34"/>
  <c r="BI48" i="34"/>
  <c r="BJ48" i="34"/>
  <c r="BI49" i="34"/>
  <c r="BK49" i="34"/>
  <c r="BJ15" i="41"/>
  <c r="BL15" i="41"/>
  <c r="BK42" i="41"/>
  <c r="BJ55" i="41"/>
  <c r="BJ9" i="41"/>
  <c r="BK9" i="41"/>
  <c r="BK8" i="41"/>
  <c r="BJ8" i="41"/>
  <c r="BJ53" i="41"/>
  <c r="BK41" i="41"/>
  <c r="BJ41" i="41"/>
  <c r="BJ47" i="34"/>
  <c r="BK47" i="34"/>
  <c r="BK24" i="41"/>
  <c r="BJ24" i="41"/>
  <c r="BJ22" i="41"/>
  <c r="BK22" i="41"/>
  <c r="BL61" i="34"/>
  <c r="BL63" i="34"/>
  <c r="BK39" i="41"/>
  <c r="BJ39" i="41"/>
  <c r="BK47" i="41"/>
  <c r="BJ47" i="41"/>
  <c r="BK11" i="41"/>
  <c r="BJ11" i="41"/>
  <c r="BJ62" i="41"/>
  <c r="BK62" i="41"/>
  <c r="BK54" i="41"/>
  <c r="BJ54" i="41"/>
  <c r="BJ42" i="34"/>
  <c r="BK42" i="34"/>
  <c r="BI23" i="34"/>
  <c r="BI22" i="34"/>
  <c r="BK23" i="41"/>
  <c r="BJ23" i="41"/>
  <c r="BK48" i="41"/>
  <c r="BJ48" i="41"/>
  <c r="BI11" i="34"/>
  <c r="BI10" i="34"/>
  <c r="BJ61" i="41"/>
  <c r="BK61" i="41"/>
  <c r="BI29" i="34"/>
  <c r="BI30" i="34"/>
  <c r="BJ8" i="34"/>
  <c r="BK8" i="34"/>
  <c r="BK56" i="41"/>
  <c r="BJ56" i="41"/>
  <c r="BK25" i="41"/>
  <c r="BJ25" i="41"/>
  <c r="BJ25" i="34"/>
  <c r="BK25" i="34"/>
  <c r="BK46" i="34"/>
  <c r="BJ46" i="34"/>
  <c r="BL31" i="41"/>
  <c r="BL29" i="41"/>
  <c r="BL53" i="34"/>
  <c r="BL55" i="34"/>
  <c r="BK17" i="34"/>
  <c r="BJ17" i="34"/>
  <c r="BK49" i="41"/>
  <c r="BJ49" i="41"/>
  <c r="BL62" i="34"/>
  <c r="BL60" i="34"/>
  <c r="BK60" i="41"/>
  <c r="BJ60" i="41"/>
  <c r="BL18" i="41"/>
  <c r="BL16" i="41"/>
  <c r="BJ9" i="34"/>
  <c r="BK9" i="34"/>
  <c r="BI33" i="34"/>
  <c r="BI31" i="34"/>
  <c r="BL54" i="34"/>
  <c r="BL56" i="34"/>
  <c r="BK24" i="34"/>
  <c r="BJ24" i="34"/>
  <c r="BL30" i="41"/>
  <c r="BL33" i="41"/>
  <c r="BK40" i="41"/>
  <c r="BJ40" i="41"/>
  <c r="BJ46" i="41"/>
  <c r="BK46" i="41"/>
  <c r="BJ10" i="41"/>
  <c r="BK10" i="41"/>
  <c r="BJ63" i="41"/>
  <c r="BK63" i="41"/>
  <c r="BJ41" i="34"/>
  <c r="BK41" i="34"/>
  <c r="BL16" i="34"/>
  <c r="BL18" i="34"/>
  <c r="BJ49" i="34"/>
  <c r="BK48" i="34"/>
  <c r="BL48" i="34"/>
  <c r="BL17" i="41"/>
  <c r="BM17" i="41"/>
  <c r="BL53" i="41"/>
  <c r="BM53" i="41"/>
  <c r="BL15" i="34"/>
  <c r="BM15" i="34"/>
  <c r="BL55" i="41"/>
  <c r="BM55" i="41"/>
  <c r="BL17" i="34"/>
  <c r="BM17" i="34"/>
  <c r="BN33" i="41"/>
  <c r="BM33" i="41"/>
  <c r="BN56" i="34"/>
  <c r="BM56" i="34"/>
  <c r="BM60" i="34"/>
  <c r="BN60" i="34"/>
  <c r="BM29" i="41"/>
  <c r="BN29" i="41"/>
  <c r="BJ30" i="34"/>
  <c r="BK30" i="34"/>
  <c r="BJ10" i="34"/>
  <c r="BK10" i="34"/>
  <c r="BK22" i="34"/>
  <c r="BJ22" i="34"/>
  <c r="BL49" i="41"/>
  <c r="BN15" i="41"/>
  <c r="BM15" i="41"/>
  <c r="BL41" i="34"/>
  <c r="BL39" i="34"/>
  <c r="BL48" i="41"/>
  <c r="BL46" i="41"/>
  <c r="BN30" i="41"/>
  <c r="BM30" i="41"/>
  <c r="BM54" i="34"/>
  <c r="BN54" i="34"/>
  <c r="BN15" i="34"/>
  <c r="BN62" i="34"/>
  <c r="BM62" i="34"/>
  <c r="BN31" i="41"/>
  <c r="BM31" i="41"/>
  <c r="BK29" i="34"/>
  <c r="BJ29" i="34"/>
  <c r="BJ11" i="34"/>
  <c r="BK11" i="34"/>
  <c r="BK23" i="34"/>
  <c r="BJ23" i="34"/>
  <c r="BL40" i="34"/>
  <c r="BL42" i="34"/>
  <c r="BM16" i="34"/>
  <c r="BN16" i="34"/>
  <c r="BL40" i="41"/>
  <c r="BL42" i="41"/>
  <c r="BK31" i="34"/>
  <c r="BJ31" i="34"/>
  <c r="BN16" i="41"/>
  <c r="BM16" i="41"/>
  <c r="BL62" i="41"/>
  <c r="BL60" i="41"/>
  <c r="BL47" i="41"/>
  <c r="BN55" i="34"/>
  <c r="BM55" i="34"/>
  <c r="BL23" i="41"/>
  <c r="BL25" i="41"/>
  <c r="BN53" i="41"/>
  <c r="BL56" i="41"/>
  <c r="BL54" i="41"/>
  <c r="BL11" i="41"/>
  <c r="BL9" i="41"/>
  <c r="BL39" i="41"/>
  <c r="BL41" i="41"/>
  <c r="BM63" i="34"/>
  <c r="BN63" i="34"/>
  <c r="BM18" i="34"/>
  <c r="BN18" i="34"/>
  <c r="BL8" i="41"/>
  <c r="BL10" i="41"/>
  <c r="BJ33" i="34"/>
  <c r="BK33" i="34"/>
  <c r="BN18" i="41"/>
  <c r="BM18" i="41"/>
  <c r="BM53" i="34"/>
  <c r="BN53" i="34"/>
  <c r="BL61" i="41"/>
  <c r="BL63" i="41"/>
  <c r="BM61" i="34"/>
  <c r="BN61" i="34"/>
  <c r="BL24" i="41"/>
  <c r="BL22" i="41"/>
  <c r="BL49" i="34"/>
  <c r="BL47" i="34"/>
  <c r="BL46" i="34"/>
  <c r="BN46" i="34"/>
  <c r="BN55" i="41"/>
  <c r="BN17" i="41"/>
  <c r="BO16" i="41"/>
  <c r="BL10" i="34"/>
  <c r="BN10" i="34"/>
  <c r="BL11" i="34"/>
  <c r="BN11" i="34"/>
  <c r="BL8" i="34"/>
  <c r="BM8" i="34"/>
  <c r="BN17" i="34"/>
  <c r="BO17" i="34"/>
  <c r="BM49" i="34"/>
  <c r="BN49" i="34"/>
  <c r="BO62" i="34"/>
  <c r="BO61" i="34"/>
  <c r="BN61" i="41"/>
  <c r="BM61" i="41"/>
  <c r="BO56" i="34"/>
  <c r="BO53" i="34"/>
  <c r="BN39" i="41"/>
  <c r="BM39" i="41"/>
  <c r="BN56" i="41"/>
  <c r="BM56" i="41"/>
  <c r="BN23" i="41"/>
  <c r="BM23" i="41"/>
  <c r="BN42" i="41"/>
  <c r="BM42" i="41"/>
  <c r="BL23" i="34"/>
  <c r="BL25" i="34"/>
  <c r="BL29" i="34"/>
  <c r="BL31" i="34"/>
  <c r="BN41" i="34"/>
  <c r="BM41" i="34"/>
  <c r="BL22" i="34"/>
  <c r="BL24" i="34"/>
  <c r="BL33" i="34"/>
  <c r="BM22" i="41"/>
  <c r="BN22" i="41"/>
  <c r="BN10" i="41"/>
  <c r="BM10" i="41"/>
  <c r="BM9" i="41"/>
  <c r="BN9" i="41"/>
  <c r="BM46" i="34"/>
  <c r="BN47" i="41"/>
  <c r="BM47" i="41"/>
  <c r="BM40" i="41"/>
  <c r="BN40" i="41"/>
  <c r="BN46" i="41"/>
  <c r="BM46" i="41"/>
  <c r="BO18" i="41"/>
  <c r="BO15" i="41"/>
  <c r="BL30" i="34"/>
  <c r="BO63" i="34"/>
  <c r="BO60" i="34"/>
  <c r="BM24" i="41"/>
  <c r="BN24" i="41"/>
  <c r="BM8" i="41"/>
  <c r="BN8" i="41"/>
  <c r="BN11" i="41"/>
  <c r="BM11" i="41"/>
  <c r="BN48" i="34"/>
  <c r="BM48" i="34"/>
  <c r="BN60" i="41"/>
  <c r="BM60" i="41"/>
  <c r="BN42" i="34"/>
  <c r="BM42" i="34"/>
  <c r="BL9" i="34"/>
  <c r="BO15" i="34"/>
  <c r="BO18" i="34"/>
  <c r="BO55" i="34"/>
  <c r="BO54" i="34"/>
  <c r="BM48" i="41"/>
  <c r="BN48" i="41"/>
  <c r="BM47" i="34"/>
  <c r="BN47" i="34"/>
  <c r="BM63" i="41"/>
  <c r="BN63" i="41"/>
  <c r="BN41" i="41"/>
  <c r="BM41" i="41"/>
  <c r="BN54" i="41"/>
  <c r="BM54" i="41"/>
  <c r="BM25" i="41"/>
  <c r="BN25" i="41"/>
  <c r="BN62" i="41"/>
  <c r="BM62" i="41"/>
  <c r="BM40" i="34"/>
  <c r="BN40" i="34"/>
  <c r="BO31" i="41"/>
  <c r="BO30" i="41"/>
  <c r="BN39" i="34"/>
  <c r="BM39" i="34"/>
  <c r="BM49" i="41"/>
  <c r="BN49" i="41"/>
  <c r="BO29" i="41"/>
  <c r="BO33" i="41"/>
  <c r="BO17" i="41"/>
  <c r="BN8" i="34"/>
  <c r="BM10" i="34"/>
  <c r="BO16" i="34"/>
  <c r="BR16" i="34"/>
  <c r="BO53" i="41"/>
  <c r="BP53" i="41"/>
  <c r="BO56" i="41"/>
  <c r="BQ56" i="41"/>
  <c r="BM11" i="34"/>
  <c r="BR33" i="41"/>
  <c r="BQ33" i="41"/>
  <c r="BP33" i="41"/>
  <c r="BP29" i="41"/>
  <c r="BR29" i="41"/>
  <c r="BQ29" i="41"/>
  <c r="BO41" i="34"/>
  <c r="BO40" i="34"/>
  <c r="BR15" i="34"/>
  <c r="BQ15" i="34"/>
  <c r="BP15" i="34"/>
  <c r="BO63" i="41"/>
  <c r="BO60" i="41"/>
  <c r="BR53" i="41"/>
  <c r="BM30" i="34"/>
  <c r="BN30" i="34"/>
  <c r="BO9" i="41"/>
  <c r="BO10" i="41"/>
  <c r="BN24" i="34"/>
  <c r="BM24" i="34"/>
  <c r="BN31" i="34"/>
  <c r="BM31" i="34"/>
  <c r="BO24" i="41"/>
  <c r="BO23" i="41"/>
  <c r="BO39" i="41"/>
  <c r="BO42" i="41"/>
  <c r="BO61" i="41"/>
  <c r="BO62" i="41"/>
  <c r="BP30" i="41"/>
  <c r="BQ30" i="41"/>
  <c r="BR30" i="41"/>
  <c r="BQ17" i="34"/>
  <c r="BP17" i="34"/>
  <c r="BR17" i="34"/>
  <c r="BQ54" i="34"/>
  <c r="BR54" i="34"/>
  <c r="BP54" i="34"/>
  <c r="BM9" i="34"/>
  <c r="BN9" i="34"/>
  <c r="BO11" i="41"/>
  <c r="BO8" i="41"/>
  <c r="BQ15" i="41"/>
  <c r="BR15" i="41"/>
  <c r="BP15" i="41"/>
  <c r="BM22" i="34"/>
  <c r="BN22" i="34"/>
  <c r="BM29" i="34"/>
  <c r="BN29" i="34"/>
  <c r="BQ31" i="41"/>
  <c r="BP31" i="41"/>
  <c r="BR31" i="41"/>
  <c r="BQ16" i="34"/>
  <c r="BO47" i="34"/>
  <c r="BO48" i="34"/>
  <c r="BQ55" i="34"/>
  <c r="BP55" i="34"/>
  <c r="BR55" i="34"/>
  <c r="BR60" i="34"/>
  <c r="BQ60" i="34"/>
  <c r="BP60" i="34"/>
  <c r="BQ18" i="41"/>
  <c r="BR18" i="41"/>
  <c r="BP18" i="41"/>
  <c r="BO41" i="41"/>
  <c r="BO40" i="41"/>
  <c r="BO49" i="34"/>
  <c r="BO46" i="34"/>
  <c r="BO22" i="41"/>
  <c r="BO25" i="41"/>
  <c r="BN25" i="34"/>
  <c r="BM25" i="34"/>
  <c r="BP17" i="41"/>
  <c r="BQ17" i="41"/>
  <c r="BR17" i="41"/>
  <c r="BP53" i="34"/>
  <c r="BR53" i="34"/>
  <c r="BQ53" i="34"/>
  <c r="BQ61" i="34"/>
  <c r="BP61" i="34"/>
  <c r="BR61" i="34"/>
  <c r="BO39" i="34"/>
  <c r="BO42" i="34"/>
  <c r="BO54" i="41"/>
  <c r="BO55" i="41"/>
  <c r="BP18" i="34"/>
  <c r="BQ18" i="34"/>
  <c r="BR18" i="34"/>
  <c r="BP63" i="34"/>
  <c r="BQ63" i="34"/>
  <c r="BR63" i="34"/>
  <c r="BO46" i="41"/>
  <c r="BO49" i="41"/>
  <c r="BO47" i="41"/>
  <c r="BO48" i="41"/>
  <c r="BN33" i="34"/>
  <c r="BM33" i="34"/>
  <c r="BN23" i="34"/>
  <c r="BM23" i="34"/>
  <c r="BR16" i="41"/>
  <c r="BP16" i="41"/>
  <c r="BQ16" i="41"/>
  <c r="BQ56" i="34"/>
  <c r="BP56" i="34"/>
  <c r="BR56" i="34"/>
  <c r="BR62" i="34"/>
  <c r="BQ62" i="34"/>
  <c r="BP62" i="34"/>
  <c r="BP16" i="34"/>
  <c r="BP56" i="41"/>
  <c r="BO8" i="34"/>
  <c r="BO11" i="34"/>
  <c r="BQ53" i="41"/>
  <c r="BR56" i="41"/>
  <c r="BS63" i="34"/>
  <c r="BS62" i="34"/>
  <c r="BP46" i="41"/>
  <c r="BR46" i="41"/>
  <c r="BQ46" i="41"/>
  <c r="BR54" i="41"/>
  <c r="BQ54" i="41"/>
  <c r="BP54" i="41"/>
  <c r="BS18" i="41"/>
  <c r="BS17" i="41"/>
  <c r="BP22" i="41"/>
  <c r="BR22" i="41"/>
  <c r="BQ22" i="41"/>
  <c r="BP41" i="41"/>
  <c r="BQ41" i="41"/>
  <c r="BR41" i="41"/>
  <c r="BS60" i="34"/>
  <c r="BS61" i="34"/>
  <c r="BQ47" i="34"/>
  <c r="BP47" i="34"/>
  <c r="BR47" i="34"/>
  <c r="BO29" i="34"/>
  <c r="BO33" i="34"/>
  <c r="BO10" i="34"/>
  <c r="BO9" i="34"/>
  <c r="BQ42" i="41"/>
  <c r="BP42" i="41"/>
  <c r="BR42" i="41"/>
  <c r="BP10" i="41"/>
  <c r="BQ10" i="41"/>
  <c r="BR10" i="41"/>
  <c r="BR63" i="41"/>
  <c r="BQ63" i="41"/>
  <c r="BP63" i="41"/>
  <c r="BQ40" i="34"/>
  <c r="BP40" i="34"/>
  <c r="BR40" i="34"/>
  <c r="BS30" i="41"/>
  <c r="BS29" i="41"/>
  <c r="BO23" i="34"/>
  <c r="BO24" i="34"/>
  <c r="BP48" i="41"/>
  <c r="BR48" i="41"/>
  <c r="BQ48" i="41"/>
  <c r="BR42" i="34"/>
  <c r="BP42" i="34"/>
  <c r="BQ42" i="34"/>
  <c r="BS53" i="34"/>
  <c r="BS54" i="34"/>
  <c r="BR46" i="34"/>
  <c r="BQ46" i="34"/>
  <c r="BP46" i="34"/>
  <c r="BS56" i="34"/>
  <c r="BS55" i="34"/>
  <c r="BS33" i="41"/>
  <c r="BS31" i="41"/>
  <c r="BS18" i="34"/>
  <c r="BS17" i="34"/>
  <c r="BQ39" i="41"/>
  <c r="BP39" i="41"/>
  <c r="BR39" i="41"/>
  <c r="BP9" i="41"/>
  <c r="BR9" i="41"/>
  <c r="BQ9" i="41"/>
  <c r="BS15" i="34"/>
  <c r="BS16" i="34"/>
  <c r="BQ41" i="34"/>
  <c r="BR41" i="34"/>
  <c r="BP41" i="34"/>
  <c r="BP47" i="41"/>
  <c r="BQ47" i="41"/>
  <c r="BR47" i="41"/>
  <c r="BR39" i="34"/>
  <c r="BP39" i="34"/>
  <c r="BQ39" i="34"/>
  <c r="BQ49" i="34"/>
  <c r="BP49" i="34"/>
  <c r="BR49" i="34"/>
  <c r="BO22" i="34"/>
  <c r="BO25" i="34"/>
  <c r="BQ8" i="41"/>
  <c r="BP8" i="41"/>
  <c r="BR8" i="41"/>
  <c r="BR62" i="41"/>
  <c r="BQ62" i="41"/>
  <c r="BP62" i="41"/>
  <c r="BP23" i="41"/>
  <c r="BQ23" i="41"/>
  <c r="BR23" i="41"/>
  <c r="BR49" i="41"/>
  <c r="BQ49" i="41"/>
  <c r="BP49" i="41"/>
  <c r="BR55" i="41"/>
  <c r="BP55" i="41"/>
  <c r="BQ55" i="41"/>
  <c r="BR11" i="34"/>
  <c r="BQ11" i="34"/>
  <c r="BP11" i="34"/>
  <c r="BQ25" i="41"/>
  <c r="BP25" i="41"/>
  <c r="BR25" i="41"/>
  <c r="BR40" i="41"/>
  <c r="BQ40" i="41"/>
  <c r="BP40" i="41"/>
  <c r="BQ8" i="34"/>
  <c r="BP8" i="34"/>
  <c r="BR8" i="34"/>
  <c r="BP48" i="34"/>
  <c r="BR48" i="34"/>
  <c r="BQ48" i="34"/>
  <c r="BS16" i="41"/>
  <c r="BS15" i="41"/>
  <c r="BQ11" i="41"/>
  <c r="BR11" i="41"/>
  <c r="BP11" i="41"/>
  <c r="BQ61" i="41"/>
  <c r="BP61" i="41"/>
  <c r="BR61" i="41"/>
  <c r="BQ24" i="41"/>
  <c r="BP24" i="41"/>
  <c r="BR24" i="41"/>
  <c r="BO31" i="34"/>
  <c r="BO30" i="34"/>
  <c r="BR60" i="41"/>
  <c r="BQ60" i="41"/>
  <c r="BP60" i="41"/>
  <c r="BS53" i="41"/>
  <c r="BU53" i="41"/>
  <c r="BS54" i="41"/>
  <c r="BV54" i="41"/>
  <c r="BS41" i="41"/>
  <c r="BT41" i="41"/>
  <c r="BS61" i="41"/>
  <c r="BS60" i="41"/>
  <c r="BQ31" i="34"/>
  <c r="BP31" i="34"/>
  <c r="BR31" i="34"/>
  <c r="BS55" i="41"/>
  <c r="BS56" i="41"/>
  <c r="BS63" i="41"/>
  <c r="BS62" i="41"/>
  <c r="BS8" i="41"/>
  <c r="BS9" i="41"/>
  <c r="BS39" i="34"/>
  <c r="BS40" i="34"/>
  <c r="BV16" i="34"/>
  <c r="BU16" i="34"/>
  <c r="BT16" i="34"/>
  <c r="BS40" i="41"/>
  <c r="BS39" i="41"/>
  <c r="BU31" i="41"/>
  <c r="BV31" i="41"/>
  <c r="BT31" i="41"/>
  <c r="BS47" i="34"/>
  <c r="BS46" i="34"/>
  <c r="BT53" i="34"/>
  <c r="BU53" i="34"/>
  <c r="BV53" i="34"/>
  <c r="BR23" i="34"/>
  <c r="BP23" i="34"/>
  <c r="BQ23" i="34"/>
  <c r="BP10" i="34"/>
  <c r="BR10" i="34"/>
  <c r="BQ10" i="34"/>
  <c r="BS41" i="34"/>
  <c r="BS42" i="34"/>
  <c r="BT15" i="34"/>
  <c r="BV15" i="34"/>
  <c r="BU15" i="34"/>
  <c r="BV33" i="41"/>
  <c r="BT33" i="41"/>
  <c r="BU33" i="41"/>
  <c r="BU29" i="41"/>
  <c r="BT29" i="41"/>
  <c r="BV29" i="41"/>
  <c r="BV41" i="41"/>
  <c r="BP33" i="34"/>
  <c r="BQ33" i="34"/>
  <c r="BR33" i="34"/>
  <c r="BS22" i="41"/>
  <c r="BS23" i="41"/>
  <c r="BS47" i="41"/>
  <c r="BS46" i="41"/>
  <c r="BS25" i="41"/>
  <c r="BS24" i="41"/>
  <c r="BT15" i="41"/>
  <c r="BV15" i="41"/>
  <c r="BU15" i="41"/>
  <c r="BS48" i="34"/>
  <c r="BS49" i="34"/>
  <c r="BQ25" i="34"/>
  <c r="BR25" i="34"/>
  <c r="BP25" i="34"/>
  <c r="BV17" i="34"/>
  <c r="BT17" i="34"/>
  <c r="BU17" i="34"/>
  <c r="BU55" i="34"/>
  <c r="BV55" i="34"/>
  <c r="BT55" i="34"/>
  <c r="BS49" i="41"/>
  <c r="BS48" i="41"/>
  <c r="BU30" i="41"/>
  <c r="BT30" i="41"/>
  <c r="BV30" i="41"/>
  <c r="BQ29" i="34"/>
  <c r="BR29" i="34"/>
  <c r="BP29" i="34"/>
  <c r="BV61" i="34"/>
  <c r="BT61" i="34"/>
  <c r="BU61" i="34"/>
  <c r="BS42" i="41"/>
  <c r="BT17" i="41"/>
  <c r="BV17" i="41"/>
  <c r="BU17" i="41"/>
  <c r="BT62" i="34"/>
  <c r="BU62" i="34"/>
  <c r="BV62" i="34"/>
  <c r="BR30" i="34"/>
  <c r="BP30" i="34"/>
  <c r="BQ30" i="34"/>
  <c r="BT16" i="41"/>
  <c r="BU16" i="41"/>
  <c r="BV16" i="41"/>
  <c r="BP22" i="34"/>
  <c r="BQ22" i="34"/>
  <c r="BR22" i="34"/>
  <c r="BU54" i="41"/>
  <c r="BV18" i="34"/>
  <c r="BT18" i="34"/>
  <c r="BU18" i="34"/>
  <c r="BT56" i="34"/>
  <c r="BU56" i="34"/>
  <c r="BV56" i="34"/>
  <c r="BU54" i="34"/>
  <c r="BT54" i="34"/>
  <c r="BV54" i="34"/>
  <c r="BP24" i="34"/>
  <c r="BQ24" i="34"/>
  <c r="BR24" i="34"/>
  <c r="BS10" i="41"/>
  <c r="BS11" i="41"/>
  <c r="BP9" i="34"/>
  <c r="BR9" i="34"/>
  <c r="BQ9" i="34"/>
  <c r="BT60" i="34"/>
  <c r="BV60" i="34"/>
  <c r="BU60" i="34"/>
  <c r="BT18" i="41"/>
  <c r="BV18" i="41"/>
  <c r="BU18" i="41"/>
  <c r="BV63" i="34"/>
  <c r="BT63" i="34"/>
  <c r="BU63" i="34"/>
  <c r="BV53" i="41"/>
  <c r="BU41" i="41"/>
  <c r="BT53" i="41"/>
  <c r="BT54" i="41"/>
  <c r="BS9" i="34"/>
  <c r="BT9" i="34"/>
  <c r="BW56" i="34"/>
  <c r="BW54" i="34"/>
  <c r="BW18" i="41"/>
  <c r="BW16" i="41"/>
  <c r="BW63" i="34"/>
  <c r="BW61" i="34"/>
  <c r="BT48" i="41"/>
  <c r="BV48" i="41"/>
  <c r="BU48" i="41"/>
  <c r="BU25" i="41"/>
  <c r="BV25" i="41"/>
  <c r="BT25" i="41"/>
  <c r="BV22" i="41"/>
  <c r="BU22" i="41"/>
  <c r="BT22" i="41"/>
  <c r="BW29" i="41"/>
  <c r="BW31" i="41"/>
  <c r="BV42" i="34"/>
  <c r="BU42" i="34"/>
  <c r="BT42" i="34"/>
  <c r="BS10" i="34"/>
  <c r="BS11" i="34"/>
  <c r="BV47" i="34"/>
  <c r="BT47" i="34"/>
  <c r="BU47" i="34"/>
  <c r="BT39" i="41"/>
  <c r="BV39" i="41"/>
  <c r="BU39" i="41"/>
  <c r="BV8" i="41"/>
  <c r="BT8" i="41"/>
  <c r="BU8" i="41"/>
  <c r="BV55" i="41"/>
  <c r="BT55" i="41"/>
  <c r="BU55" i="41"/>
  <c r="BS31" i="34"/>
  <c r="BS33" i="34"/>
  <c r="BS23" i="34"/>
  <c r="BS22" i="34"/>
  <c r="BV49" i="41"/>
  <c r="BU49" i="41"/>
  <c r="BT49" i="41"/>
  <c r="BV46" i="41"/>
  <c r="BU46" i="41"/>
  <c r="BT46" i="41"/>
  <c r="BV41" i="34"/>
  <c r="BT41" i="34"/>
  <c r="BU41" i="34"/>
  <c r="BT40" i="41"/>
  <c r="BV40" i="41"/>
  <c r="BU40" i="41"/>
  <c r="BU40" i="34"/>
  <c r="BT40" i="34"/>
  <c r="BV40" i="34"/>
  <c r="BT62" i="41"/>
  <c r="BV62" i="41"/>
  <c r="BU62" i="41"/>
  <c r="BS8" i="34"/>
  <c r="BW62" i="34"/>
  <c r="BW60" i="34"/>
  <c r="BV11" i="41"/>
  <c r="BU11" i="41"/>
  <c r="BT11" i="41"/>
  <c r="BS25" i="34"/>
  <c r="BS24" i="34"/>
  <c r="BU42" i="41"/>
  <c r="BV42" i="41"/>
  <c r="BT42" i="41"/>
  <c r="BS29" i="34"/>
  <c r="BS30" i="34"/>
  <c r="BW33" i="41"/>
  <c r="BW30" i="41"/>
  <c r="BU49" i="34"/>
  <c r="BV49" i="34"/>
  <c r="BT49" i="34"/>
  <c r="BW17" i="41"/>
  <c r="BW15" i="41"/>
  <c r="BV47" i="41"/>
  <c r="BT47" i="41"/>
  <c r="BU47" i="41"/>
  <c r="BW53" i="34"/>
  <c r="BW55" i="34"/>
  <c r="BW16" i="34"/>
  <c r="BW18" i="34"/>
  <c r="BV39" i="34"/>
  <c r="BT39" i="34"/>
  <c r="BU39" i="34"/>
  <c r="BU63" i="41"/>
  <c r="BV63" i="41"/>
  <c r="BT63" i="41"/>
  <c r="BU60" i="41"/>
  <c r="BV60" i="41"/>
  <c r="BT60" i="41"/>
  <c r="BT10" i="41"/>
  <c r="BV10" i="41"/>
  <c r="BU10" i="41"/>
  <c r="BT48" i="34"/>
  <c r="BV48" i="34"/>
  <c r="BU48" i="34"/>
  <c r="BT24" i="41"/>
  <c r="BU24" i="41"/>
  <c r="BV24" i="41"/>
  <c r="BV23" i="41"/>
  <c r="BT23" i="41"/>
  <c r="BU23" i="41"/>
  <c r="BW17" i="34"/>
  <c r="BW15" i="34"/>
  <c r="BV46" i="34"/>
  <c r="BT46" i="34"/>
  <c r="BU46" i="34"/>
  <c r="BT9" i="41"/>
  <c r="BU9" i="41"/>
  <c r="BV9" i="41"/>
  <c r="BT56" i="41"/>
  <c r="BV56" i="41"/>
  <c r="BU56" i="41"/>
  <c r="BU61" i="41"/>
  <c r="BT61" i="41"/>
  <c r="BV61" i="41"/>
  <c r="BU9" i="34"/>
  <c r="BV9" i="34"/>
  <c r="BW54" i="41"/>
  <c r="BX54" i="41"/>
  <c r="BW53" i="41"/>
  <c r="BX53" i="41"/>
  <c r="BW63" i="41"/>
  <c r="BW61" i="41"/>
  <c r="BY17" i="34"/>
  <c r="BZ17" i="34"/>
  <c r="BX17" i="34"/>
  <c r="BW41" i="34"/>
  <c r="BW39" i="34"/>
  <c r="BZ55" i="34"/>
  <c r="BX55" i="34"/>
  <c r="BY55" i="34"/>
  <c r="BU30" i="34"/>
  <c r="BV30" i="34"/>
  <c r="BT30" i="34"/>
  <c r="BT8" i="34"/>
  <c r="BU8" i="34"/>
  <c r="BV8" i="34"/>
  <c r="BU23" i="34"/>
  <c r="BV23" i="34"/>
  <c r="BT23" i="34"/>
  <c r="BT10" i="34"/>
  <c r="BU10" i="34"/>
  <c r="BV10" i="34"/>
  <c r="BX31" i="41"/>
  <c r="BY31" i="41"/>
  <c r="BZ31" i="41"/>
  <c r="BW55" i="41"/>
  <c r="BY18" i="41"/>
  <c r="BX18" i="41"/>
  <c r="BZ18" i="41"/>
  <c r="BZ56" i="34"/>
  <c r="BX56" i="34"/>
  <c r="BY56" i="34"/>
  <c r="BW46" i="34"/>
  <c r="BW48" i="34"/>
  <c r="BW60" i="41"/>
  <c r="BW62" i="41"/>
  <c r="BX53" i="34"/>
  <c r="BZ53" i="34"/>
  <c r="BY53" i="34"/>
  <c r="BZ15" i="41"/>
  <c r="BY15" i="41"/>
  <c r="BX15" i="41"/>
  <c r="BT29" i="34"/>
  <c r="BU29" i="34"/>
  <c r="BV29" i="34"/>
  <c r="BU24" i="34"/>
  <c r="BV24" i="34"/>
  <c r="BT24" i="34"/>
  <c r="BW40" i="34"/>
  <c r="BW42" i="34"/>
  <c r="BW42" i="41"/>
  <c r="BW40" i="41"/>
  <c r="BW46" i="41"/>
  <c r="BW48" i="41"/>
  <c r="BT33" i="34"/>
  <c r="BU33" i="34"/>
  <c r="BV33" i="34"/>
  <c r="BW47" i="34"/>
  <c r="BW49" i="34"/>
  <c r="BZ29" i="41"/>
  <c r="BY29" i="41"/>
  <c r="BX29" i="41"/>
  <c r="BX61" i="34"/>
  <c r="BY61" i="34"/>
  <c r="BZ61" i="34"/>
  <c r="BW56" i="41"/>
  <c r="BW25" i="41"/>
  <c r="BW23" i="41"/>
  <c r="BY18" i="34"/>
  <c r="BZ18" i="34"/>
  <c r="BX18" i="34"/>
  <c r="BX17" i="41"/>
  <c r="BY17" i="41"/>
  <c r="BZ17" i="41"/>
  <c r="BY30" i="41"/>
  <c r="BX30" i="41"/>
  <c r="BZ30" i="41"/>
  <c r="BV25" i="34"/>
  <c r="BU25" i="34"/>
  <c r="BT25" i="34"/>
  <c r="BZ60" i="34"/>
  <c r="BY60" i="34"/>
  <c r="BX60" i="34"/>
  <c r="BT31" i="34"/>
  <c r="BV31" i="34"/>
  <c r="BU31" i="34"/>
  <c r="BW24" i="41"/>
  <c r="BW22" i="41"/>
  <c r="BZ63" i="34"/>
  <c r="BX63" i="34"/>
  <c r="BY63" i="34"/>
  <c r="BW9" i="41"/>
  <c r="BW11" i="41"/>
  <c r="BX15" i="34"/>
  <c r="BY15" i="34"/>
  <c r="BZ15" i="34"/>
  <c r="BX16" i="34"/>
  <c r="BZ16" i="34"/>
  <c r="BY16" i="34"/>
  <c r="BW47" i="41"/>
  <c r="BW49" i="41"/>
  <c r="BX33" i="41"/>
  <c r="BZ33" i="41"/>
  <c r="BY33" i="41"/>
  <c r="BZ62" i="34"/>
  <c r="BX62" i="34"/>
  <c r="BY62" i="34"/>
  <c r="BT22" i="34"/>
  <c r="BU22" i="34"/>
  <c r="BV22" i="34"/>
  <c r="BW10" i="41"/>
  <c r="BW8" i="41"/>
  <c r="BW39" i="41"/>
  <c r="BW41" i="41"/>
  <c r="BV11" i="34"/>
  <c r="BT11" i="34"/>
  <c r="BU11" i="34"/>
  <c r="BZ16" i="41"/>
  <c r="BY16" i="41"/>
  <c r="BX16" i="41"/>
  <c r="BZ54" i="34"/>
  <c r="BX54" i="34"/>
  <c r="BY54" i="34"/>
  <c r="BY53" i="41"/>
  <c r="BW11" i="34"/>
  <c r="BW9" i="34"/>
  <c r="BY9" i="34"/>
  <c r="BZ53" i="41"/>
  <c r="BZ54" i="41"/>
  <c r="BY54" i="41"/>
  <c r="CA55" i="34"/>
  <c r="CA54" i="34"/>
  <c r="BX41" i="41"/>
  <c r="BZ41" i="41"/>
  <c r="BY41" i="41"/>
  <c r="CA18" i="34"/>
  <c r="CA15" i="34"/>
  <c r="BX56" i="41"/>
  <c r="BZ56" i="41"/>
  <c r="BY56" i="41"/>
  <c r="CA33" i="41"/>
  <c r="CA29" i="41"/>
  <c r="BX47" i="34"/>
  <c r="BY47" i="34"/>
  <c r="BZ47" i="34"/>
  <c r="BX48" i="41"/>
  <c r="BY48" i="41"/>
  <c r="BZ48" i="41"/>
  <c r="BY42" i="34"/>
  <c r="BZ42" i="34"/>
  <c r="BX42" i="34"/>
  <c r="CA18" i="41"/>
  <c r="CA15" i="41"/>
  <c r="BZ48" i="34"/>
  <c r="BX48" i="34"/>
  <c r="BY48" i="34"/>
  <c r="BX55" i="41"/>
  <c r="BY55" i="41"/>
  <c r="BZ55" i="41"/>
  <c r="BW8" i="34"/>
  <c r="BW10" i="34"/>
  <c r="BX41" i="34"/>
  <c r="BZ41" i="34"/>
  <c r="BY41" i="34"/>
  <c r="BZ61" i="41"/>
  <c r="BY61" i="41"/>
  <c r="BX61" i="41"/>
  <c r="BZ39" i="41"/>
  <c r="BX39" i="41"/>
  <c r="BY39" i="41"/>
  <c r="BX49" i="41"/>
  <c r="BZ49" i="41"/>
  <c r="BY49" i="41"/>
  <c r="CA17" i="34"/>
  <c r="CA16" i="34"/>
  <c r="BY11" i="41"/>
  <c r="BX11" i="41"/>
  <c r="BZ11" i="41"/>
  <c r="BZ46" i="41"/>
  <c r="BX46" i="41"/>
  <c r="BY46" i="41"/>
  <c r="BX40" i="34"/>
  <c r="BY40" i="34"/>
  <c r="BZ40" i="34"/>
  <c r="CA56" i="34"/>
  <c r="CA53" i="34"/>
  <c r="BY46" i="34"/>
  <c r="BZ46" i="34"/>
  <c r="BX46" i="34"/>
  <c r="BW33" i="34"/>
  <c r="BW30" i="34"/>
  <c r="BZ63" i="41"/>
  <c r="BX63" i="41"/>
  <c r="BY63" i="41"/>
  <c r="BZ11" i="34"/>
  <c r="BY11" i="34"/>
  <c r="BX11" i="34"/>
  <c r="CA17" i="41"/>
  <c r="CA16" i="41"/>
  <c r="BZ8" i="41"/>
  <c r="BY8" i="41"/>
  <c r="BX8" i="41"/>
  <c r="BW22" i="34"/>
  <c r="BW24" i="34"/>
  <c r="BX47" i="41"/>
  <c r="BY47" i="41"/>
  <c r="BZ47" i="41"/>
  <c r="BZ9" i="41"/>
  <c r="BX9" i="41"/>
  <c r="BY9" i="41"/>
  <c r="BY22" i="41"/>
  <c r="BX22" i="41"/>
  <c r="BZ22" i="41"/>
  <c r="CA31" i="41"/>
  <c r="CA30" i="41"/>
  <c r="BX23" i="41"/>
  <c r="BZ23" i="41"/>
  <c r="BY23" i="41"/>
  <c r="BZ40" i="41"/>
  <c r="BY40" i="41"/>
  <c r="BX40" i="41"/>
  <c r="BZ62" i="41"/>
  <c r="BY62" i="41"/>
  <c r="BX62" i="41"/>
  <c r="BZ10" i="41"/>
  <c r="BX10" i="41"/>
  <c r="BY10" i="41"/>
  <c r="BZ24" i="41"/>
  <c r="BY24" i="41"/>
  <c r="BX24" i="41"/>
  <c r="CA60" i="34"/>
  <c r="CA63" i="34"/>
  <c r="BX25" i="41"/>
  <c r="BZ25" i="41"/>
  <c r="BY25" i="41"/>
  <c r="CA62" i="34"/>
  <c r="CA61" i="34"/>
  <c r="BZ49" i="34"/>
  <c r="BY49" i="34"/>
  <c r="BX49" i="34"/>
  <c r="BX42" i="41"/>
  <c r="BY42" i="41"/>
  <c r="BZ42" i="41"/>
  <c r="BW31" i="34"/>
  <c r="BW29" i="34"/>
  <c r="BX60" i="41"/>
  <c r="BZ60" i="41"/>
  <c r="BY60" i="41"/>
  <c r="BW25" i="34"/>
  <c r="BW23" i="34"/>
  <c r="BZ39" i="34"/>
  <c r="BY39" i="34"/>
  <c r="BX39" i="34"/>
  <c r="CA54" i="41"/>
  <c r="BX9" i="34"/>
  <c r="CA53" i="41"/>
  <c r="CH53" i="41"/>
  <c r="CA56" i="41"/>
  <c r="CD56" i="41"/>
  <c r="CA55" i="41"/>
  <c r="CD55" i="41"/>
  <c r="BZ9" i="34"/>
  <c r="CA39" i="34"/>
  <c r="CA42" i="34"/>
  <c r="BZ25" i="34"/>
  <c r="BY25" i="34"/>
  <c r="BX25" i="34"/>
  <c r="BZ29" i="34"/>
  <c r="BX29" i="34"/>
  <c r="BY29" i="34"/>
  <c r="CD61" i="34"/>
  <c r="CC61" i="34"/>
  <c r="CB61" i="34"/>
  <c r="CH61" i="34"/>
  <c r="CH30" i="41"/>
  <c r="CD30" i="41"/>
  <c r="CC30" i="41"/>
  <c r="CB30" i="41"/>
  <c r="BZ22" i="34"/>
  <c r="BX22" i="34"/>
  <c r="BY22" i="34"/>
  <c r="CD16" i="41"/>
  <c r="CC16" i="41"/>
  <c r="CH16" i="41"/>
  <c r="CB16" i="41"/>
  <c r="BZ30" i="34"/>
  <c r="BY30" i="34"/>
  <c r="BX30" i="34"/>
  <c r="CH16" i="34"/>
  <c r="CC16" i="34"/>
  <c r="CD16" i="34"/>
  <c r="CB16" i="34"/>
  <c r="CB29" i="41"/>
  <c r="CH29" i="41"/>
  <c r="CD29" i="41"/>
  <c r="CC29" i="41"/>
  <c r="BX31" i="34"/>
  <c r="BY31" i="34"/>
  <c r="BZ31" i="34"/>
  <c r="CD62" i="34"/>
  <c r="CB62" i="34"/>
  <c r="CC62" i="34"/>
  <c r="CH62" i="34"/>
  <c r="CC63" i="34"/>
  <c r="CD63" i="34"/>
  <c r="CH63" i="34"/>
  <c r="CB63" i="34"/>
  <c r="CC31" i="41"/>
  <c r="CH31" i="41"/>
  <c r="CD31" i="41"/>
  <c r="CB31" i="41"/>
  <c r="CA8" i="41"/>
  <c r="CA11" i="41"/>
  <c r="CB17" i="41"/>
  <c r="CH17" i="41"/>
  <c r="CD17" i="41"/>
  <c r="CC17" i="41"/>
  <c r="BZ33" i="34"/>
  <c r="BX33" i="34"/>
  <c r="BY33" i="34"/>
  <c r="CC53" i="34"/>
  <c r="CD53" i="34"/>
  <c r="CH53" i="34"/>
  <c r="CB53" i="34"/>
  <c r="CA41" i="34"/>
  <c r="CA40" i="34"/>
  <c r="CC17" i="34"/>
  <c r="CD17" i="34"/>
  <c r="CB17" i="34"/>
  <c r="CH17" i="34"/>
  <c r="BY10" i="34"/>
  <c r="BX10" i="34"/>
  <c r="BZ10" i="34"/>
  <c r="CH15" i="41"/>
  <c r="CD15" i="41"/>
  <c r="CC15" i="41"/>
  <c r="CB15" i="41"/>
  <c r="CC33" i="41"/>
  <c r="CB33" i="41"/>
  <c r="CH33" i="41"/>
  <c r="CD33" i="41"/>
  <c r="CB15" i="34"/>
  <c r="CH15" i="34"/>
  <c r="CC15" i="34"/>
  <c r="CD15" i="34"/>
  <c r="CC60" i="34"/>
  <c r="CH60" i="34"/>
  <c r="CB60" i="34"/>
  <c r="CD60" i="34"/>
  <c r="CA41" i="41"/>
  <c r="CA40" i="41"/>
  <c r="CA10" i="41"/>
  <c r="CA9" i="41"/>
  <c r="CA47" i="41"/>
  <c r="CA48" i="41"/>
  <c r="CA49" i="34"/>
  <c r="CA46" i="34"/>
  <c r="CH56" i="34"/>
  <c r="CD56" i="34"/>
  <c r="CB56" i="34"/>
  <c r="CC56" i="34"/>
  <c r="CA42" i="41"/>
  <c r="CA39" i="41"/>
  <c r="BX8" i="34"/>
  <c r="BY8" i="34"/>
  <c r="BZ8" i="34"/>
  <c r="CH18" i="41"/>
  <c r="CD18" i="41"/>
  <c r="CC18" i="41"/>
  <c r="CB18" i="41"/>
  <c r="CC18" i="34"/>
  <c r="CD18" i="34"/>
  <c r="CH18" i="34"/>
  <c r="CB18" i="34"/>
  <c r="CB54" i="34"/>
  <c r="CC54" i="34"/>
  <c r="CH54" i="34"/>
  <c r="CD54" i="34"/>
  <c r="CH54" i="41"/>
  <c r="CD54" i="41"/>
  <c r="CB54" i="41"/>
  <c r="CC54" i="41"/>
  <c r="BX23" i="34"/>
  <c r="BZ23" i="34"/>
  <c r="BY23" i="34"/>
  <c r="CA63" i="41"/>
  <c r="CA60" i="41"/>
  <c r="CA23" i="41"/>
  <c r="CA24" i="41"/>
  <c r="CA25" i="41"/>
  <c r="CA22" i="41"/>
  <c r="BY24" i="34"/>
  <c r="BZ24" i="34"/>
  <c r="BX24" i="34"/>
  <c r="CA49" i="41"/>
  <c r="CA46" i="41"/>
  <c r="CA61" i="41"/>
  <c r="CA62" i="41"/>
  <c r="CA48" i="34"/>
  <c r="CA47" i="34"/>
  <c r="CD55" i="34"/>
  <c r="CH55" i="34"/>
  <c r="CB55" i="34"/>
  <c r="CC55" i="34"/>
  <c r="CC53" i="41"/>
  <c r="CB53" i="41"/>
  <c r="CD53" i="41"/>
  <c r="CB56" i="41"/>
  <c r="CC56" i="41"/>
  <c r="CH56" i="41"/>
  <c r="CH55" i="41"/>
  <c r="CP55" i="41"/>
  <c r="CC55" i="41"/>
  <c r="CB55" i="41"/>
  <c r="CA9" i="34"/>
  <c r="CB9" i="34"/>
  <c r="CC47" i="34"/>
  <c r="CD47" i="34"/>
  <c r="CH47" i="34"/>
  <c r="CB47" i="34"/>
  <c r="CC46" i="41"/>
  <c r="CD46" i="41"/>
  <c r="CB46" i="41"/>
  <c r="CH46" i="41"/>
  <c r="CH23" i="41"/>
  <c r="CD23" i="41"/>
  <c r="CC23" i="41"/>
  <c r="CB23" i="41"/>
  <c r="CA8" i="34"/>
  <c r="CA11" i="34"/>
  <c r="CB49" i="34"/>
  <c r="CC49" i="34"/>
  <c r="CH49" i="34"/>
  <c r="CD49" i="34"/>
  <c r="CD10" i="41"/>
  <c r="CC10" i="41"/>
  <c r="CB10" i="41"/>
  <c r="CH10" i="41"/>
  <c r="CK33" i="41"/>
  <c r="AA23" i="41"/>
  <c r="CN33" i="41"/>
  <c r="AE23" i="41"/>
  <c r="CJ33" i="41"/>
  <c r="Y23" i="41"/>
  <c r="CP33" i="41"/>
  <c r="CO33" i="41"/>
  <c r="AF23" i="41"/>
  <c r="CI33" i="41"/>
  <c r="X23" i="41"/>
  <c r="CM33" i="41"/>
  <c r="AC23" i="41"/>
  <c r="T23" i="41"/>
  <c r="CL33" i="41"/>
  <c r="Z23" i="41"/>
  <c r="CL17" i="34"/>
  <c r="Z7" i="34"/>
  <c r="CM17" i="34"/>
  <c r="AC7" i="34"/>
  <c r="CI17" i="34"/>
  <c r="X7" i="34"/>
  <c r="CP17" i="34"/>
  <c r="CJ17" i="34"/>
  <c r="Y7" i="34"/>
  <c r="AG7" i="34"/>
  <c r="CN17" i="34"/>
  <c r="AE7" i="34"/>
  <c r="CK17" i="34"/>
  <c r="AA7" i="34"/>
  <c r="T7" i="34"/>
  <c r="CO17" i="34"/>
  <c r="AF7" i="34"/>
  <c r="CD40" i="34"/>
  <c r="CH40" i="34"/>
  <c r="CB40" i="34"/>
  <c r="CC40" i="34"/>
  <c r="CK53" i="41"/>
  <c r="J5" i="41"/>
  <c r="CJ53" i="41"/>
  <c r="H5" i="41"/>
  <c r="CO53" i="41"/>
  <c r="O5" i="41"/>
  <c r="CN53" i="41"/>
  <c r="N5" i="41"/>
  <c r="CI53" i="41"/>
  <c r="G5" i="41"/>
  <c r="CP53" i="41"/>
  <c r="CM53" i="41"/>
  <c r="L5" i="41"/>
  <c r="C5" i="41"/>
  <c r="CL53" i="41"/>
  <c r="I5" i="41"/>
  <c r="CJ63" i="34"/>
  <c r="CK63" i="34"/>
  <c r="CL63" i="34"/>
  <c r="CO63" i="34"/>
  <c r="CM63" i="34"/>
  <c r="CI63" i="34"/>
  <c r="CN63" i="34"/>
  <c r="CP63" i="34"/>
  <c r="CN29" i="41"/>
  <c r="AE20" i="41"/>
  <c r="CP29" i="41"/>
  <c r="CO29" i="41"/>
  <c r="AF20" i="41"/>
  <c r="CK29" i="41"/>
  <c r="AA20" i="41"/>
  <c r="CI29" i="41"/>
  <c r="X20" i="41"/>
  <c r="CJ29" i="41"/>
  <c r="Y20" i="41"/>
  <c r="CL29" i="41"/>
  <c r="Z20" i="41"/>
  <c r="CM29" i="41"/>
  <c r="AC20" i="41"/>
  <c r="T20" i="41"/>
  <c r="CK61" i="34"/>
  <c r="CP61" i="34"/>
  <c r="CO61" i="34"/>
  <c r="CM61" i="34"/>
  <c r="CN61" i="34"/>
  <c r="CI61" i="34"/>
  <c r="CJ61" i="34"/>
  <c r="CL61" i="34"/>
  <c r="CD48" i="34"/>
  <c r="CC48" i="34"/>
  <c r="CB48" i="34"/>
  <c r="CH48" i="34"/>
  <c r="CC49" i="41"/>
  <c r="CB49" i="41"/>
  <c r="CH49" i="41"/>
  <c r="CD49" i="41"/>
  <c r="CH22" i="41"/>
  <c r="CD22" i="41"/>
  <c r="CC22" i="41"/>
  <c r="CB22" i="41"/>
  <c r="CD60" i="41"/>
  <c r="CC60" i="41"/>
  <c r="CH60" i="41"/>
  <c r="CB60" i="41"/>
  <c r="CA24" i="34"/>
  <c r="CA23" i="34"/>
  <c r="CI54" i="41"/>
  <c r="G6" i="41"/>
  <c r="CJ54" i="41"/>
  <c r="H6" i="41"/>
  <c r="CM54" i="41"/>
  <c r="L6" i="41"/>
  <c r="CK54" i="41"/>
  <c r="J6" i="41"/>
  <c r="C6" i="41"/>
  <c r="CO54" i="41"/>
  <c r="O6" i="41"/>
  <c r="CL54" i="41"/>
  <c r="I6" i="41"/>
  <c r="CP54" i="41"/>
  <c r="CN54" i="41"/>
  <c r="N6" i="41"/>
  <c r="CJ18" i="41"/>
  <c r="CI18" i="41"/>
  <c r="CM18" i="41"/>
  <c r="CK18" i="41"/>
  <c r="CO18" i="41"/>
  <c r="CN18" i="41"/>
  <c r="CP18" i="41"/>
  <c r="CL18" i="41"/>
  <c r="CB39" i="41"/>
  <c r="CC39" i="41"/>
  <c r="CD39" i="41"/>
  <c r="CH39" i="41"/>
  <c r="CB48" i="41"/>
  <c r="CH48" i="41"/>
  <c r="CC48" i="41"/>
  <c r="CD48" i="41"/>
  <c r="CD40" i="41"/>
  <c r="CH40" i="41"/>
  <c r="CB40" i="41"/>
  <c r="CC40" i="41"/>
  <c r="CK56" i="41"/>
  <c r="J8" i="41"/>
  <c r="C8" i="41"/>
  <c r="CM56" i="41"/>
  <c r="L8" i="41"/>
  <c r="CN56" i="41"/>
  <c r="N8" i="41"/>
  <c r="CJ56" i="41"/>
  <c r="H8" i="41"/>
  <c r="CI56" i="41"/>
  <c r="G8" i="41"/>
  <c r="CL56" i="41"/>
  <c r="I8" i="41"/>
  <c r="CO56" i="41"/>
  <c r="O8" i="41"/>
  <c r="CP56" i="41"/>
  <c r="CL60" i="34"/>
  <c r="CN60" i="34"/>
  <c r="CK60" i="34"/>
  <c r="CI60" i="34"/>
  <c r="CJ60" i="34"/>
  <c r="CP60" i="34"/>
  <c r="CO60" i="34"/>
  <c r="CM60" i="34"/>
  <c r="CK15" i="34"/>
  <c r="AA5" i="34"/>
  <c r="CL15" i="34"/>
  <c r="Z5" i="34"/>
  <c r="CJ15" i="34"/>
  <c r="Y5" i="34"/>
  <c r="CO15" i="34"/>
  <c r="AF5" i="34"/>
  <c r="CM15" i="34"/>
  <c r="AC5" i="34"/>
  <c r="T5" i="34"/>
  <c r="CP15" i="34"/>
  <c r="CN15" i="34"/>
  <c r="AE5" i="34"/>
  <c r="CI15" i="34"/>
  <c r="X5" i="34"/>
  <c r="CC41" i="34"/>
  <c r="CH41" i="34"/>
  <c r="CD41" i="34"/>
  <c r="CB41" i="34"/>
  <c r="CB11" i="41"/>
  <c r="CC11" i="41"/>
  <c r="CH11" i="41"/>
  <c r="CD11" i="41"/>
  <c r="CI31" i="41"/>
  <c r="X22" i="41"/>
  <c r="CK31" i="41"/>
  <c r="AA22" i="41"/>
  <c r="CL31" i="41"/>
  <c r="Z22" i="41"/>
  <c r="T22" i="41"/>
  <c r="CO31" i="41"/>
  <c r="AF22" i="41"/>
  <c r="CJ31" i="41"/>
  <c r="Y22" i="41"/>
  <c r="CP31" i="41"/>
  <c r="CM31" i="41"/>
  <c r="AC22" i="41"/>
  <c r="CN31" i="41"/>
  <c r="AE22" i="41"/>
  <c r="CM16" i="34"/>
  <c r="AC6" i="34"/>
  <c r="G5" i="45"/>
  <c r="CP16" i="34"/>
  <c r="CO16" i="34"/>
  <c r="AF6" i="34"/>
  <c r="J5" i="45"/>
  <c r="CL16" i="34"/>
  <c r="Z6" i="34"/>
  <c r="D5" i="45"/>
  <c r="CJ16" i="34"/>
  <c r="Y6" i="34"/>
  <c r="T6" i="34"/>
  <c r="CK16" i="34"/>
  <c r="AA6" i="34"/>
  <c r="E5" i="45"/>
  <c r="CN16" i="34"/>
  <c r="AE6" i="34"/>
  <c r="I5" i="45"/>
  <c r="CI16" i="34"/>
  <c r="X6" i="34"/>
  <c r="CA29" i="34"/>
  <c r="CA33" i="34"/>
  <c r="CN55" i="34"/>
  <c r="CJ55" i="34"/>
  <c r="CP55" i="34"/>
  <c r="CK55" i="34"/>
  <c r="CM55" i="34"/>
  <c r="CL55" i="34"/>
  <c r="CO55" i="34"/>
  <c r="CI55" i="34"/>
  <c r="CH62" i="41"/>
  <c r="CD62" i="41"/>
  <c r="CC62" i="41"/>
  <c r="CB62" i="41"/>
  <c r="CD25" i="41"/>
  <c r="CC25" i="41"/>
  <c r="CB25" i="41"/>
  <c r="CH25" i="41"/>
  <c r="CD63" i="41"/>
  <c r="CB63" i="41"/>
  <c r="CC63" i="41"/>
  <c r="CH63" i="41"/>
  <c r="CH42" i="41"/>
  <c r="CB42" i="41"/>
  <c r="CD42" i="41"/>
  <c r="CC42" i="41"/>
  <c r="CO56" i="34"/>
  <c r="CN56" i="34"/>
  <c r="CK56" i="34"/>
  <c r="CP56" i="34"/>
  <c r="CI56" i="34"/>
  <c r="CL56" i="34"/>
  <c r="CM56" i="34"/>
  <c r="CJ56" i="34"/>
  <c r="CH47" i="41"/>
  <c r="CB47" i="41"/>
  <c r="CC47" i="41"/>
  <c r="CD47" i="41"/>
  <c r="CD41" i="41"/>
  <c r="CB41" i="41"/>
  <c r="CC41" i="41"/>
  <c r="CH41" i="41"/>
  <c r="CO15" i="41"/>
  <c r="CJ15" i="41"/>
  <c r="CK15" i="41"/>
  <c r="CN15" i="41"/>
  <c r="CP15" i="41"/>
  <c r="CM15" i="41"/>
  <c r="CI15" i="41"/>
  <c r="CL15" i="41"/>
  <c r="CA10" i="34"/>
  <c r="CD8" i="41"/>
  <c r="CC8" i="41"/>
  <c r="CH8" i="41"/>
  <c r="CB8" i="41"/>
  <c r="CA31" i="34"/>
  <c r="CA30" i="34"/>
  <c r="CK16" i="41"/>
  <c r="CP16" i="41"/>
  <c r="CN16" i="41"/>
  <c r="CO16" i="41"/>
  <c r="CM16" i="41"/>
  <c r="CJ16" i="41"/>
  <c r="CL16" i="41"/>
  <c r="CI16" i="41"/>
  <c r="CA25" i="34"/>
  <c r="CA22" i="34"/>
  <c r="CD42" i="34"/>
  <c r="CB42" i="34"/>
  <c r="CC42" i="34"/>
  <c r="CH42" i="34"/>
  <c r="CC61" i="41"/>
  <c r="CH61" i="41"/>
  <c r="CB61" i="41"/>
  <c r="CD61" i="41"/>
  <c r="CD24" i="41"/>
  <c r="CC24" i="41"/>
  <c r="CB24" i="41"/>
  <c r="CH24" i="41"/>
  <c r="CJ54" i="34"/>
  <c r="CI54" i="34"/>
  <c r="CP54" i="34"/>
  <c r="CO54" i="34"/>
  <c r="CK54" i="34"/>
  <c r="CN54" i="34"/>
  <c r="CL54" i="34"/>
  <c r="CM54" i="34"/>
  <c r="CN18" i="34"/>
  <c r="AE8" i="34"/>
  <c r="CJ18" i="34"/>
  <c r="Y8" i="34"/>
  <c r="CM18" i="34"/>
  <c r="AC8" i="34"/>
  <c r="CK18" i="34"/>
  <c r="AA8" i="34"/>
  <c r="T8" i="34"/>
  <c r="CO18" i="34"/>
  <c r="AF8" i="34"/>
  <c r="CL18" i="34"/>
  <c r="Z8" i="34"/>
  <c r="CI18" i="34"/>
  <c r="X8" i="34"/>
  <c r="CP18" i="34"/>
  <c r="CH46" i="34"/>
  <c r="CD46" i="34"/>
  <c r="CB46" i="34"/>
  <c r="CC46" i="34"/>
  <c r="CB9" i="41"/>
  <c r="CC9" i="41"/>
  <c r="CD9" i="41"/>
  <c r="CH9" i="41"/>
  <c r="CI53" i="34"/>
  <c r="CN53" i="34"/>
  <c r="CJ53" i="34"/>
  <c r="CK53" i="34"/>
  <c r="CL53" i="34"/>
  <c r="CP53" i="34"/>
  <c r="CO53" i="34"/>
  <c r="CM53" i="34"/>
  <c r="CM17" i="41"/>
  <c r="CJ17" i="41"/>
  <c r="CP17" i="41"/>
  <c r="CO17" i="41"/>
  <c r="CK17" i="41"/>
  <c r="CN17" i="41"/>
  <c r="CI17" i="41"/>
  <c r="CL17" i="41"/>
  <c r="CP62" i="34"/>
  <c r="CN62" i="34"/>
  <c r="CK62" i="34"/>
  <c r="CM62" i="34"/>
  <c r="CJ62" i="34"/>
  <c r="CI62" i="34"/>
  <c r="CO62" i="34"/>
  <c r="CL62" i="34"/>
  <c r="CP30" i="41"/>
  <c r="CI30" i="41"/>
  <c r="X21" i="41"/>
  <c r="CK30" i="41"/>
  <c r="AA21" i="41"/>
  <c r="CJ30" i="41"/>
  <c r="Y21" i="41"/>
  <c r="CO30" i="41"/>
  <c r="AF21" i="41"/>
  <c r="CM30" i="41"/>
  <c r="AC21" i="41"/>
  <c r="CL30" i="41"/>
  <c r="Z21" i="41"/>
  <c r="CN30" i="41"/>
  <c r="AE21" i="41"/>
  <c r="T21" i="41"/>
  <c r="CD39" i="34"/>
  <c r="CB39" i="34"/>
  <c r="CC39" i="34"/>
  <c r="CH39" i="34"/>
  <c r="C7" i="41"/>
  <c r="CN55" i="41"/>
  <c r="N7" i="41"/>
  <c r="CK55" i="41"/>
  <c r="J7" i="41"/>
  <c r="CL55" i="41"/>
  <c r="I7" i="41"/>
  <c r="CI55" i="41"/>
  <c r="G7" i="41"/>
  <c r="CJ55" i="41"/>
  <c r="H7" i="41"/>
  <c r="CM55" i="41"/>
  <c r="L7" i="41"/>
  <c r="CO55" i="41"/>
  <c r="O7" i="41"/>
  <c r="AG20" i="41"/>
  <c r="AG22" i="41"/>
  <c r="CC9" i="34"/>
  <c r="CD9" i="34"/>
  <c r="CH9" i="34"/>
  <c r="CO9" i="34"/>
  <c r="O6" i="34"/>
  <c r="J4" i="45"/>
  <c r="AG5" i="34"/>
  <c r="C22" i="41"/>
  <c r="CM24" i="41"/>
  <c r="L22" i="41"/>
  <c r="CP24" i="41"/>
  <c r="CI24" i="41"/>
  <c r="G22" i="41"/>
  <c r="CL24" i="41"/>
  <c r="I22" i="41"/>
  <c r="CJ24" i="41"/>
  <c r="H22" i="41"/>
  <c r="CO24" i="41"/>
  <c r="O22" i="41"/>
  <c r="CN24" i="41"/>
  <c r="N22" i="41"/>
  <c r="CK24" i="41"/>
  <c r="J22" i="41"/>
  <c r="CK42" i="34"/>
  <c r="J39" i="34"/>
  <c r="C39" i="34"/>
  <c r="CN42" i="34"/>
  <c r="N39" i="34"/>
  <c r="CJ42" i="34"/>
  <c r="H39" i="34"/>
  <c r="CO42" i="34"/>
  <c r="O39" i="34"/>
  <c r="CI42" i="34"/>
  <c r="G39" i="34"/>
  <c r="CL42" i="34"/>
  <c r="I39" i="34"/>
  <c r="CP42" i="34"/>
  <c r="CM42" i="34"/>
  <c r="L39" i="34"/>
  <c r="CB22" i="34"/>
  <c r="CC22" i="34"/>
  <c r="CD22" i="34"/>
  <c r="CH22" i="34"/>
  <c r="CC10" i="34"/>
  <c r="CB10" i="34"/>
  <c r="CD10" i="34"/>
  <c r="CH10" i="34"/>
  <c r="CK47" i="41"/>
  <c r="CM47" i="41"/>
  <c r="CN47" i="41"/>
  <c r="CP47" i="41"/>
  <c r="CL47" i="41"/>
  <c r="CJ47" i="41"/>
  <c r="CO47" i="41"/>
  <c r="CI47" i="41"/>
  <c r="CK42" i="41"/>
  <c r="CP42" i="41"/>
  <c r="CO42" i="41"/>
  <c r="CL42" i="41"/>
  <c r="CN42" i="41"/>
  <c r="CM42" i="41"/>
  <c r="CJ42" i="41"/>
  <c r="CI42" i="41"/>
  <c r="CL62" i="41"/>
  <c r="Z7" i="41"/>
  <c r="CN62" i="41"/>
  <c r="AE7" i="41"/>
  <c r="CJ62" i="41"/>
  <c r="Y7" i="41"/>
  <c r="CP62" i="41"/>
  <c r="CO62" i="41"/>
  <c r="AF7" i="41"/>
  <c r="T7" i="41"/>
  <c r="CM62" i="41"/>
  <c r="AC7" i="41"/>
  <c r="CK62" i="41"/>
  <c r="AA7" i="41"/>
  <c r="CI62" i="41"/>
  <c r="X7" i="41"/>
  <c r="CD23" i="34"/>
  <c r="CC23" i="34"/>
  <c r="CH23" i="34"/>
  <c r="CB23" i="34"/>
  <c r="CK46" i="41"/>
  <c r="CP46" i="41"/>
  <c r="CO46" i="41"/>
  <c r="CI46" i="41"/>
  <c r="CJ46" i="41"/>
  <c r="CL46" i="41"/>
  <c r="CN46" i="41"/>
  <c r="CM46" i="41"/>
  <c r="CM39" i="34"/>
  <c r="L36" i="34"/>
  <c r="CO39" i="34"/>
  <c r="O36" i="34"/>
  <c r="D43" i="42"/>
  <c r="CJ39" i="34"/>
  <c r="H36" i="34"/>
  <c r="CL39" i="34"/>
  <c r="I36" i="34"/>
  <c r="CN39" i="34"/>
  <c r="N36" i="34"/>
  <c r="CK39" i="34"/>
  <c r="J36" i="34"/>
  <c r="CI39" i="34"/>
  <c r="G36" i="34"/>
  <c r="CP39" i="34"/>
  <c r="C36" i="34"/>
  <c r="CH25" i="34"/>
  <c r="CB25" i="34"/>
  <c r="CD25" i="34"/>
  <c r="CC25" i="34"/>
  <c r="CJ8" i="41"/>
  <c r="CP8" i="41"/>
  <c r="CI8" i="41"/>
  <c r="CL8" i="41"/>
  <c r="CK8" i="41"/>
  <c r="CO8" i="41"/>
  <c r="CN8" i="41"/>
  <c r="CM8" i="41"/>
  <c r="CK41" i="41"/>
  <c r="CN41" i="41"/>
  <c r="CJ41" i="41"/>
  <c r="CL41" i="41"/>
  <c r="CO41" i="41"/>
  <c r="CP41" i="41"/>
  <c r="CI41" i="41"/>
  <c r="CM41" i="41"/>
  <c r="CJ63" i="41"/>
  <c r="Y8" i="41"/>
  <c r="CI63" i="41"/>
  <c r="X8" i="41"/>
  <c r="CL63" i="41"/>
  <c r="Z8" i="41"/>
  <c r="CN63" i="41"/>
  <c r="AE8" i="41"/>
  <c r="CP63" i="41"/>
  <c r="CM63" i="41"/>
  <c r="AC8" i="41"/>
  <c r="T8" i="41"/>
  <c r="CK63" i="41"/>
  <c r="AA8" i="41"/>
  <c r="CO63" i="41"/>
  <c r="AF8" i="41"/>
  <c r="CP25" i="41"/>
  <c r="CI25" i="41"/>
  <c r="G23" i="41"/>
  <c r="C23" i="41"/>
  <c r="CJ25" i="41"/>
  <c r="H23" i="41"/>
  <c r="CN25" i="41"/>
  <c r="N23" i="41"/>
  <c r="CL25" i="41"/>
  <c r="I23" i="41"/>
  <c r="CO25" i="41"/>
  <c r="O23" i="41"/>
  <c r="CM25" i="41"/>
  <c r="L23" i="41"/>
  <c r="CK25" i="41"/>
  <c r="J23" i="41"/>
  <c r="CH33" i="34"/>
  <c r="CB33" i="34"/>
  <c r="CD33" i="34"/>
  <c r="CC33" i="34"/>
  <c r="AI64" i="34"/>
  <c r="F26" i="42"/>
  <c r="CK40" i="41"/>
  <c r="CP40" i="41"/>
  <c r="CN40" i="41"/>
  <c r="CJ40" i="41"/>
  <c r="CO40" i="41"/>
  <c r="CI40" i="41"/>
  <c r="CM40" i="41"/>
  <c r="CL40" i="41"/>
  <c r="CL48" i="41"/>
  <c r="CM48" i="41"/>
  <c r="CN48" i="41"/>
  <c r="CP48" i="41"/>
  <c r="CK48" i="41"/>
  <c r="CO48" i="41"/>
  <c r="CJ48" i="41"/>
  <c r="CI48" i="41"/>
  <c r="CC24" i="34"/>
  <c r="CB24" i="34"/>
  <c r="CD24" i="34"/>
  <c r="CH24" i="34"/>
  <c r="CN22" i="41"/>
  <c r="N20" i="41"/>
  <c r="C20" i="41"/>
  <c r="CI22" i="41"/>
  <c r="G20" i="41"/>
  <c r="CL22" i="41"/>
  <c r="I20" i="41"/>
  <c r="CP22" i="41"/>
  <c r="CO22" i="41"/>
  <c r="O20" i="41"/>
  <c r="CJ22" i="41"/>
  <c r="H20" i="41"/>
  <c r="CM22" i="41"/>
  <c r="L20" i="41"/>
  <c r="CK22" i="41"/>
  <c r="J20" i="41"/>
  <c r="CI47" i="34"/>
  <c r="X37" i="34"/>
  <c r="CM47" i="34"/>
  <c r="AC37" i="34"/>
  <c r="G9" i="45"/>
  <c r="CJ47" i="34"/>
  <c r="Y37" i="34"/>
  <c r="CN47" i="34"/>
  <c r="AE37" i="34"/>
  <c r="I9" i="45"/>
  <c r="CO47" i="34"/>
  <c r="AF37" i="34"/>
  <c r="J9" i="45"/>
  <c r="T37" i="34"/>
  <c r="CL47" i="34"/>
  <c r="Z37" i="34"/>
  <c r="D9" i="45"/>
  <c r="CK47" i="34"/>
  <c r="AA37" i="34"/>
  <c r="E9" i="45"/>
  <c r="CP47" i="34"/>
  <c r="AG21" i="41"/>
  <c r="T36" i="34"/>
  <c r="CI46" i="34"/>
  <c r="X36" i="34"/>
  <c r="CN46" i="34"/>
  <c r="AE36" i="34"/>
  <c r="CK46" i="34"/>
  <c r="AA36" i="34"/>
  <c r="CP46" i="34"/>
  <c r="CM46" i="34"/>
  <c r="AC36" i="34"/>
  <c r="CL46" i="34"/>
  <c r="Z36" i="34"/>
  <c r="CO46" i="34"/>
  <c r="AF36" i="34"/>
  <c r="F43" i="42"/>
  <c r="CJ46" i="34"/>
  <c r="Y36" i="34"/>
  <c r="AG8" i="34"/>
  <c r="CK61" i="41"/>
  <c r="AA6" i="41"/>
  <c r="T6" i="41"/>
  <c r="CI61" i="41"/>
  <c r="X6" i="41"/>
  <c r="CL61" i="41"/>
  <c r="Z6" i="41"/>
  <c r="CM61" i="41"/>
  <c r="AC6" i="41"/>
  <c r="CN61" i="41"/>
  <c r="AE6" i="41"/>
  <c r="CO61" i="41"/>
  <c r="AF6" i="41"/>
  <c r="CP61" i="41"/>
  <c r="CJ61" i="41"/>
  <c r="Y6" i="41"/>
  <c r="CB30" i="34"/>
  <c r="CH30" i="34"/>
  <c r="CD30" i="34"/>
  <c r="CC30" i="34"/>
  <c r="CH29" i="34"/>
  <c r="CB29" i="34"/>
  <c r="CC29" i="34"/>
  <c r="CD29" i="34"/>
  <c r="CN11" i="41"/>
  <c r="CP11" i="41"/>
  <c r="CL11" i="41"/>
  <c r="CK11" i="41"/>
  <c r="CI11" i="41"/>
  <c r="CM11" i="41"/>
  <c r="CJ11" i="41"/>
  <c r="CO11" i="41"/>
  <c r="P8" i="41"/>
  <c r="P6" i="41"/>
  <c r="CL48" i="34"/>
  <c r="Z38" i="34"/>
  <c r="CK48" i="34"/>
  <c r="AA38" i="34"/>
  <c r="CP48" i="34"/>
  <c r="CI48" i="34"/>
  <c r="X38" i="34"/>
  <c r="CJ48" i="34"/>
  <c r="Y38" i="34"/>
  <c r="AG38" i="34"/>
  <c r="CM48" i="34"/>
  <c r="AC38" i="34"/>
  <c r="CN48" i="34"/>
  <c r="AE38" i="34"/>
  <c r="CO48" i="34"/>
  <c r="AF38" i="34"/>
  <c r="T38" i="34"/>
  <c r="P5" i="41"/>
  <c r="CK40" i="34"/>
  <c r="J37" i="34"/>
  <c r="E8" i="45"/>
  <c r="CJ40" i="34"/>
  <c r="H37" i="34"/>
  <c r="CN40" i="34"/>
  <c r="N37" i="34"/>
  <c r="I8" i="45"/>
  <c r="CO40" i="34"/>
  <c r="O37" i="34"/>
  <c r="J8" i="45"/>
  <c r="C37" i="34"/>
  <c r="CL40" i="34"/>
  <c r="I37" i="34"/>
  <c r="D8" i="45"/>
  <c r="CP40" i="34"/>
  <c r="CI40" i="34"/>
  <c r="G37" i="34"/>
  <c r="CM40" i="34"/>
  <c r="L37" i="34"/>
  <c r="G8" i="45"/>
  <c r="CO10" i="41"/>
  <c r="CK10" i="41"/>
  <c r="CM10" i="41"/>
  <c r="CJ10" i="41"/>
  <c r="CI10" i="41"/>
  <c r="CN10" i="41"/>
  <c r="CP10" i="41"/>
  <c r="CL10" i="41"/>
  <c r="CH11" i="34"/>
  <c r="CC11" i="34"/>
  <c r="CD11" i="34"/>
  <c r="CB11" i="34"/>
  <c r="CJ9" i="41"/>
  <c r="CP9" i="41"/>
  <c r="CI9" i="41"/>
  <c r="CM9" i="41"/>
  <c r="CK9" i="41"/>
  <c r="CL9" i="41"/>
  <c r="CN9" i="41"/>
  <c r="CO9" i="41"/>
  <c r="CD31" i="34"/>
  <c r="CH31" i="34"/>
  <c r="CB31" i="34"/>
  <c r="CC31" i="34"/>
  <c r="AL61" i="34"/>
  <c r="B5" i="45"/>
  <c r="A5" i="45"/>
  <c r="AG6" i="34"/>
  <c r="K5" i="45"/>
  <c r="C5" i="45"/>
  <c r="C38" i="34"/>
  <c r="CK41" i="34"/>
  <c r="J38" i="34"/>
  <c r="CJ41" i="34"/>
  <c r="H38" i="34"/>
  <c r="CM41" i="34"/>
  <c r="L38" i="34"/>
  <c r="CP41" i="34"/>
  <c r="CO41" i="34"/>
  <c r="O38" i="34"/>
  <c r="CL41" i="34"/>
  <c r="I38" i="34"/>
  <c r="CI41" i="34"/>
  <c r="G38" i="34"/>
  <c r="CN41" i="34"/>
  <c r="N38" i="34"/>
  <c r="CM39" i="41"/>
  <c r="CK39" i="41"/>
  <c r="CJ39" i="41"/>
  <c r="CP39" i="41"/>
  <c r="CI39" i="41"/>
  <c r="CL39" i="41"/>
  <c r="CN39" i="41"/>
  <c r="CO39" i="41"/>
  <c r="CL60" i="41"/>
  <c r="Z5" i="41"/>
  <c r="CM60" i="41"/>
  <c r="AC5" i="41"/>
  <c r="CI60" i="41"/>
  <c r="X5" i="41"/>
  <c r="CN60" i="41"/>
  <c r="AE5" i="41"/>
  <c r="CK60" i="41"/>
  <c r="AA5" i="41"/>
  <c r="CJ60" i="41"/>
  <c r="Y5" i="41"/>
  <c r="T5" i="41"/>
  <c r="CO60" i="41"/>
  <c r="AF5" i="41"/>
  <c r="CP60" i="41"/>
  <c r="CK49" i="41"/>
  <c r="CJ49" i="41"/>
  <c r="CP49" i="41"/>
  <c r="CL49" i="41"/>
  <c r="CM49" i="41"/>
  <c r="CI49" i="41"/>
  <c r="CN49" i="41"/>
  <c r="CO49" i="41"/>
  <c r="AG23" i="41"/>
  <c r="CN49" i="34"/>
  <c r="AE39" i="34"/>
  <c r="CI49" i="34"/>
  <c r="X39" i="34"/>
  <c r="CJ49" i="34"/>
  <c r="Y39" i="34"/>
  <c r="CL49" i="34"/>
  <c r="Z39" i="34"/>
  <c r="CO49" i="34"/>
  <c r="AF39" i="34"/>
  <c r="CM49" i="34"/>
  <c r="AC39" i="34"/>
  <c r="CK49" i="34"/>
  <c r="AA39" i="34"/>
  <c r="CP49" i="34"/>
  <c r="T39" i="34"/>
  <c r="CH8" i="34"/>
  <c r="CD8" i="34"/>
  <c r="CC8" i="34"/>
  <c r="CB8" i="34"/>
  <c r="CK23" i="41"/>
  <c r="J21" i="41"/>
  <c r="CL23" i="41"/>
  <c r="I21" i="41"/>
  <c r="CI23" i="41"/>
  <c r="G21" i="41"/>
  <c r="CN23" i="41"/>
  <c r="N21" i="41"/>
  <c r="CO23" i="41"/>
  <c r="O21" i="41"/>
  <c r="CP23" i="41"/>
  <c r="CM23" i="41"/>
  <c r="L21" i="41"/>
  <c r="C21" i="41"/>
  <c r="CJ23" i="41"/>
  <c r="H21" i="41"/>
  <c r="C6" i="34"/>
  <c r="CN9" i="34"/>
  <c r="N6" i="34"/>
  <c r="I4" i="45"/>
  <c r="P7" i="41"/>
  <c r="CP9" i="34"/>
  <c r="CI9" i="34"/>
  <c r="G6" i="34"/>
  <c r="A4" i="45"/>
  <c r="CM9" i="34"/>
  <c r="L6" i="34"/>
  <c r="G4" i="45"/>
  <c r="CL9" i="34"/>
  <c r="I6" i="34"/>
  <c r="D4" i="45"/>
  <c r="CK9" i="34"/>
  <c r="J6" i="34"/>
  <c r="E4" i="45"/>
  <c r="CJ9" i="34"/>
  <c r="H6" i="34"/>
  <c r="C4" i="45"/>
  <c r="AG8" i="41"/>
  <c r="AG7" i="41"/>
  <c r="P23" i="41"/>
  <c r="AG39" i="34"/>
  <c r="P20" i="41"/>
  <c r="AG5" i="41"/>
  <c r="AG6" i="41"/>
  <c r="P22" i="41"/>
  <c r="P38" i="34"/>
  <c r="CM11" i="34"/>
  <c r="L8" i="34"/>
  <c r="C8" i="34"/>
  <c r="CL11" i="34"/>
  <c r="I8" i="34"/>
  <c r="CJ11" i="34"/>
  <c r="H8" i="34"/>
  <c r="CK11" i="34"/>
  <c r="J8" i="34"/>
  <c r="CN11" i="34"/>
  <c r="N8" i="34"/>
  <c r="CO11" i="34"/>
  <c r="O8" i="34"/>
  <c r="CP11" i="34"/>
  <c r="CI11" i="34"/>
  <c r="G8" i="34"/>
  <c r="P37" i="34"/>
  <c r="K8" i="45"/>
  <c r="C8" i="45"/>
  <c r="CN30" i="34"/>
  <c r="AE21" i="34"/>
  <c r="I7" i="45"/>
  <c r="CP30" i="34"/>
  <c r="CL30" i="34"/>
  <c r="Z21" i="34"/>
  <c r="D7" i="45"/>
  <c r="CJ30" i="34"/>
  <c r="Y21" i="34"/>
  <c r="CM30" i="34"/>
  <c r="AC21" i="34"/>
  <c r="G7" i="45"/>
  <c r="CI30" i="34"/>
  <c r="X21" i="34"/>
  <c r="T21" i="34"/>
  <c r="CO30" i="34"/>
  <c r="AF21" i="34"/>
  <c r="J7" i="45"/>
  <c r="CK30" i="34"/>
  <c r="AA21" i="34"/>
  <c r="E7" i="45"/>
  <c r="AG36" i="34"/>
  <c r="C9" i="45"/>
  <c r="AG37" i="34"/>
  <c r="K9" i="45"/>
  <c r="CN24" i="34"/>
  <c r="N22" i="34"/>
  <c r="C22" i="34"/>
  <c r="CK24" i="34"/>
  <c r="J22" i="34"/>
  <c r="CP24" i="34"/>
  <c r="CO24" i="34"/>
  <c r="O22" i="34"/>
  <c r="CL24" i="34"/>
  <c r="I22" i="34"/>
  <c r="CM24" i="34"/>
  <c r="L22" i="34"/>
  <c r="CJ24" i="34"/>
  <c r="H22" i="34"/>
  <c r="CI24" i="34"/>
  <c r="G22" i="34"/>
  <c r="T20" i="34"/>
  <c r="CJ29" i="34"/>
  <c r="Y20" i="34"/>
  <c r="CL29" i="34"/>
  <c r="Z20" i="34"/>
  <c r="CK29" i="34"/>
  <c r="AA20" i="34"/>
  <c r="CI29" i="34"/>
  <c r="X20" i="34"/>
  <c r="D28" i="42"/>
  <c r="CP29" i="34"/>
  <c r="CM29" i="34"/>
  <c r="AC20" i="34"/>
  <c r="CO29" i="34"/>
  <c r="AF20" i="34"/>
  <c r="CN29" i="34"/>
  <c r="AE20" i="34"/>
  <c r="T23" i="34"/>
  <c r="CL33" i="34"/>
  <c r="Z23" i="34"/>
  <c r="CJ33" i="34"/>
  <c r="Y23" i="34"/>
  <c r="CI33" i="34"/>
  <c r="X23" i="34"/>
  <c r="CK33" i="34"/>
  <c r="AA23" i="34"/>
  <c r="CP33" i="34"/>
  <c r="CO33" i="34"/>
  <c r="AF23" i="34"/>
  <c r="CM33" i="34"/>
  <c r="AC23" i="34"/>
  <c r="CN33" i="34"/>
  <c r="AE23" i="34"/>
  <c r="P21" i="41"/>
  <c r="CP8" i="34"/>
  <c r="C5" i="34"/>
  <c r="CI8" i="34"/>
  <c r="G5" i="34"/>
  <c r="CO8" i="34"/>
  <c r="O5" i="34"/>
  <c r="CK8" i="34"/>
  <c r="J5" i="34"/>
  <c r="CN8" i="34"/>
  <c r="N5" i="34"/>
  <c r="CM8" i="34"/>
  <c r="L5" i="34"/>
  <c r="CL8" i="34"/>
  <c r="I5" i="34"/>
  <c r="CJ8" i="34"/>
  <c r="H5" i="34"/>
  <c r="CP31" i="34"/>
  <c r="CM31" i="34"/>
  <c r="AC22" i="34"/>
  <c r="CN31" i="34"/>
  <c r="AE22" i="34"/>
  <c r="CO31" i="34"/>
  <c r="AF22" i="34"/>
  <c r="CL31" i="34"/>
  <c r="Z22" i="34"/>
  <c r="CJ31" i="34"/>
  <c r="Y22" i="34"/>
  <c r="T22" i="34"/>
  <c r="CK31" i="34"/>
  <c r="AA22" i="34"/>
  <c r="CI31" i="34"/>
  <c r="X22" i="34"/>
  <c r="AL63" i="34"/>
  <c r="A8" i="45"/>
  <c r="B8" i="45"/>
  <c r="AL64" i="34"/>
  <c r="B9" i="45"/>
  <c r="A9" i="45"/>
  <c r="AL62" i="34"/>
  <c r="AI61" i="34"/>
  <c r="F28" i="42"/>
  <c r="P36" i="34"/>
  <c r="CP23" i="34"/>
  <c r="CO23" i="34"/>
  <c r="O21" i="34"/>
  <c r="J6" i="45"/>
  <c r="CK23" i="34"/>
  <c r="J21" i="34"/>
  <c r="E6" i="45"/>
  <c r="C21" i="34"/>
  <c r="CJ23" i="34"/>
  <c r="H21" i="34"/>
  <c r="CL23" i="34"/>
  <c r="I21" i="34"/>
  <c r="D6" i="45"/>
  <c r="CM23" i="34"/>
  <c r="L21" i="34"/>
  <c r="G6" i="45"/>
  <c r="CN23" i="34"/>
  <c r="N21" i="34"/>
  <c r="I6" i="45"/>
  <c r="CI23" i="34"/>
  <c r="G21" i="34"/>
  <c r="CL10" i="34"/>
  <c r="I7" i="34"/>
  <c r="CN10" i="34"/>
  <c r="N7" i="34"/>
  <c r="CP10" i="34"/>
  <c r="CO10" i="34"/>
  <c r="O7" i="34"/>
  <c r="CJ10" i="34"/>
  <c r="H7" i="34"/>
  <c r="P7" i="34"/>
  <c r="CI10" i="34"/>
  <c r="G7" i="34"/>
  <c r="CK10" i="34"/>
  <c r="J7" i="34"/>
  <c r="CM10" i="34"/>
  <c r="L7" i="34"/>
  <c r="C7" i="34"/>
  <c r="CO22" i="34"/>
  <c r="O20" i="34"/>
  <c r="CP22" i="34"/>
  <c r="CK22" i="34"/>
  <c r="J20" i="34"/>
  <c r="CN22" i="34"/>
  <c r="N20" i="34"/>
  <c r="CL22" i="34"/>
  <c r="I20" i="34"/>
  <c r="CM22" i="34"/>
  <c r="L20" i="34"/>
  <c r="CJ22" i="34"/>
  <c r="H20" i="34"/>
  <c r="CI22" i="34"/>
  <c r="G20" i="34"/>
  <c r="C20" i="34"/>
  <c r="D27" i="42"/>
  <c r="AI63" i="34"/>
  <c r="D29" i="42"/>
  <c r="CP25" i="34"/>
  <c r="CN25" i="34"/>
  <c r="N23" i="34"/>
  <c r="CJ25" i="34"/>
  <c r="H23" i="34"/>
  <c r="CO25" i="34"/>
  <c r="O23" i="34"/>
  <c r="CL25" i="34"/>
  <c r="I23" i="34"/>
  <c r="CI25" i="34"/>
  <c r="G23" i="34"/>
  <c r="CK25" i="34"/>
  <c r="J23" i="34"/>
  <c r="CM25" i="34"/>
  <c r="L23" i="34"/>
  <c r="C23" i="34"/>
  <c r="P39" i="34"/>
  <c r="B4" i="45"/>
  <c r="P6" i="34"/>
  <c r="K4" i="45"/>
  <c r="P5" i="34"/>
  <c r="AG23" i="34"/>
  <c r="P8" i="34"/>
  <c r="AG22" i="34"/>
  <c r="P22" i="34"/>
  <c r="P23" i="34"/>
  <c r="A7" i="45"/>
  <c r="B7" i="45"/>
  <c r="AG21" i="34"/>
  <c r="K7" i="45"/>
  <c r="C7" i="45"/>
  <c r="P20" i="34"/>
  <c r="A6" i="45"/>
  <c r="B6" i="45"/>
  <c r="P21" i="34"/>
  <c r="K6" i="45"/>
  <c r="C6" i="45"/>
  <c r="D26" i="42"/>
  <c r="AI62" i="34"/>
  <c r="AG20" i="34"/>
</calcChain>
</file>

<file path=xl/sharedStrings.xml><?xml version="1.0" encoding="utf-8"?>
<sst xmlns="http://schemas.openxmlformats.org/spreadsheetml/2006/main" count="4094" uniqueCount="458">
  <si>
    <t>POULE  INDELING</t>
  </si>
  <si>
    <t>Poule A</t>
  </si>
  <si>
    <t>Poule B</t>
  </si>
  <si>
    <t>Poule C</t>
  </si>
  <si>
    <t>Poule D</t>
  </si>
  <si>
    <t>Poule E</t>
  </si>
  <si>
    <t>Poule F</t>
  </si>
  <si>
    <t>Poule G</t>
  </si>
  <si>
    <t>Poule H</t>
  </si>
  <si>
    <t>Poule I</t>
  </si>
  <si>
    <t>Poule J</t>
  </si>
  <si>
    <t>RONDE 1</t>
  </si>
  <si>
    <t>RONDE 6</t>
  </si>
  <si>
    <t xml:space="preserve">  SCHEMA  KWALIFICATIE   -  HEREN</t>
  </si>
  <si>
    <t>veld</t>
  </si>
  <si>
    <t>uitslag</t>
  </si>
  <si>
    <t>-</t>
  </si>
  <si>
    <t>…</t>
  </si>
  <si>
    <t>Mascha de Wit</t>
  </si>
  <si>
    <t>29  Punani</t>
  </si>
  <si>
    <t>Robin Turpijn</t>
  </si>
  <si>
    <t>30 FC GSG</t>
  </si>
  <si>
    <t>Roderick Fels</t>
  </si>
  <si>
    <t>RONDE 2</t>
  </si>
  <si>
    <t>RONDE 7</t>
  </si>
  <si>
    <t>RONDE 3</t>
  </si>
  <si>
    <t>RONDE 8</t>
  </si>
  <si>
    <t>RONDE 4</t>
  </si>
  <si>
    <t>RONDE 9</t>
  </si>
  <si>
    <t>RONDE 5</t>
  </si>
  <si>
    <t>RONDE 10</t>
  </si>
  <si>
    <t xml:space="preserve">WINNAARS  -  RECREANTEN  -  DAMES  </t>
  </si>
  <si>
    <t>WINNAARS EN VERLIEZERSRONDE</t>
  </si>
  <si>
    <t>WINNAARS</t>
  </si>
  <si>
    <t>RECREANTEN</t>
  </si>
  <si>
    <t>WINNAARSRONDE  &amp;  RECREANTEN RONDE</t>
  </si>
  <si>
    <t>Winnaars - Poule K</t>
  </si>
  <si>
    <t>Winnaars - Poule L</t>
  </si>
  <si>
    <t>Recreanten - Poule W</t>
  </si>
  <si>
    <t>Recreanten - Poule X</t>
  </si>
  <si>
    <t>5e Beste nrs. 3</t>
  </si>
  <si>
    <t>8e Beste nrs. 3</t>
  </si>
  <si>
    <t>9e Beste nrs. 3</t>
  </si>
  <si>
    <t>1e Beste nrs. 3</t>
  </si>
  <si>
    <t>4e Beste nrs. 3</t>
  </si>
  <si>
    <t>Winnaars - Poule M</t>
  </si>
  <si>
    <t>Winnaars - Poule N</t>
  </si>
  <si>
    <t>Recreanten - Poule Y</t>
  </si>
  <si>
    <t>Recreanten - Poule Z</t>
  </si>
  <si>
    <t>6e Beste nrs. 3</t>
  </si>
  <si>
    <t>7e Beste nrs. 3</t>
  </si>
  <si>
    <t>10e Beste nrs. 3</t>
  </si>
  <si>
    <t>2e Beste nrs. 3</t>
  </si>
  <si>
    <t>Winnaars - Poule O</t>
  </si>
  <si>
    <t>Winnaars - Poule P</t>
  </si>
  <si>
    <t>DAMES</t>
  </si>
  <si>
    <t>3e Beste nrs. 3</t>
  </si>
  <si>
    <t>RONDE 13</t>
  </si>
  <si>
    <t>RONDE 19</t>
  </si>
  <si>
    <t>RONDE 14</t>
  </si>
  <si>
    <t>RONDE 20</t>
  </si>
  <si>
    <t>Winnaar 1eX / 4eY</t>
  </si>
  <si>
    <t>Winnaar 3eX / 2eY</t>
  </si>
  <si>
    <t></t>
  </si>
  <si>
    <t>Winnaar 2eX / 3eY</t>
  </si>
  <si>
    <t>Winnaar 4eX / 1eY</t>
  </si>
  <si>
    <t></t>
  </si>
  <si>
    <t>Verliezer 1eX / 4eY</t>
  </si>
  <si>
    <t>Verliezer 2eX / 3eY</t>
  </si>
  <si>
    <t></t>
  </si>
  <si>
    <t>Verliezer 3eX / 2eY</t>
  </si>
  <si>
    <t>Verliezer 4eX / 1eY</t>
  </si>
  <si>
    <t></t>
  </si>
  <si>
    <t>zie dames finale schema</t>
  </si>
  <si>
    <t>3e / 4e plaats</t>
  </si>
  <si>
    <t>RONDE 15</t>
  </si>
  <si>
    <t>RONDE 21</t>
  </si>
  <si>
    <t>5e / 6e plaats</t>
  </si>
  <si>
    <t>7e / 8e plaats</t>
  </si>
  <si>
    <t>RONDE 16</t>
  </si>
  <si>
    <t>RONDE 22</t>
  </si>
  <si>
    <t>RONDE 17</t>
  </si>
  <si>
    <t>RONDE 23</t>
  </si>
  <si>
    <t>RONDE 18</t>
  </si>
  <si>
    <t xml:space="preserve">  FINALES - HALVE VELDJES CUP</t>
  </si>
  <si>
    <t>tijd</t>
  </si>
  <si>
    <t>wedstrijd</t>
  </si>
  <si>
    <t>...</t>
  </si>
  <si>
    <t>HEREN - WINNAARS</t>
  </si>
  <si>
    <t>Kwart finale</t>
  </si>
  <si>
    <t>Beste nr. 2</t>
  </si>
  <si>
    <t>..</t>
  </si>
  <si>
    <t>Een-na-beste nr. 2</t>
  </si>
  <si>
    <t>Halve finale</t>
  </si>
  <si>
    <t>Finale</t>
  </si>
  <si>
    <t>HEREN - RECREANTEN</t>
  </si>
  <si>
    <t>UITSLAGEN - KWALIFICATIE - HEREN</t>
  </si>
  <si>
    <t>Winner</t>
  </si>
  <si>
    <t>Loser</t>
  </si>
  <si>
    <t>First Draft</t>
  </si>
  <si>
    <t>Points Sort 1</t>
  </si>
  <si>
    <t>Points Sort 2</t>
  </si>
  <si>
    <t>Points Sort 3</t>
  </si>
  <si>
    <t>GD Sort 1</t>
  </si>
  <si>
    <t>GD Sort 2</t>
  </si>
  <si>
    <t>GD Sort 3</t>
  </si>
  <si>
    <t>F Sort 1</t>
  </si>
  <si>
    <t>F Sort 2</t>
  </si>
  <si>
    <t>F Sort 3</t>
  </si>
  <si>
    <t>GS</t>
  </si>
  <si>
    <t>W</t>
  </si>
  <si>
    <t>G</t>
  </si>
  <si>
    <t>V</t>
  </si>
  <si>
    <t>SALDO</t>
  </si>
  <si>
    <t>PT</t>
  </si>
  <si>
    <r>
      <t>1</t>
    </r>
    <r>
      <rPr>
        <vertAlign val="superscript"/>
        <sz val="8"/>
        <rFont val="Arial"/>
        <family val="2"/>
      </rPr>
      <t>e</t>
    </r>
  </si>
  <si>
    <r>
      <t>2</t>
    </r>
    <r>
      <rPr>
        <vertAlign val="superscript"/>
        <sz val="8"/>
        <rFont val="Arial"/>
        <family val="2"/>
      </rPr>
      <t>e</t>
    </r>
  </si>
  <si>
    <t>Group A</t>
  </si>
  <si>
    <r>
      <t>3</t>
    </r>
    <r>
      <rPr>
        <vertAlign val="superscript"/>
        <sz val="8"/>
        <rFont val="Arial"/>
        <family val="2"/>
      </rPr>
      <t>e</t>
    </r>
  </si>
  <si>
    <t>A3</t>
  </si>
  <si>
    <t>Uruguay</t>
  </si>
  <si>
    <t>Denmark</t>
  </si>
  <si>
    <t>A4</t>
  </si>
  <si>
    <t>A</t>
  </si>
  <si>
    <t>Played</t>
  </si>
  <si>
    <t>L</t>
  </si>
  <si>
    <t>D</t>
  </si>
  <si>
    <t>F</t>
  </si>
  <si>
    <t>GD</t>
  </si>
  <si>
    <t>Points</t>
  </si>
  <si>
    <t>Team</t>
  </si>
  <si>
    <t>P</t>
  </si>
  <si>
    <r>
      <t>4</t>
    </r>
    <r>
      <rPr>
        <vertAlign val="superscript"/>
        <sz val="8"/>
        <rFont val="Arial"/>
        <family val="2"/>
      </rPr>
      <t>e</t>
    </r>
  </si>
  <si>
    <t>E3</t>
  </si>
  <si>
    <t>Ireland</t>
  </si>
  <si>
    <t>Cameroon</t>
  </si>
  <si>
    <t>E4</t>
  </si>
  <si>
    <t>E</t>
  </si>
  <si>
    <t>A1</t>
  </si>
  <si>
    <t>France</t>
  </si>
  <si>
    <t>Senegal</t>
  </si>
  <si>
    <t>A2</t>
  </si>
  <si>
    <t>E1</t>
  </si>
  <si>
    <t>Germany</t>
  </si>
  <si>
    <t>Saudi Arabia</t>
  </si>
  <si>
    <t>E2</t>
  </si>
  <si>
    <t>F3</t>
  </si>
  <si>
    <t>England</t>
  </si>
  <si>
    <t>Sweden</t>
  </si>
  <si>
    <t>F4</t>
  </si>
  <si>
    <t>B3</t>
  </si>
  <si>
    <t>Paraguay</t>
  </si>
  <si>
    <t>South Africa</t>
  </si>
  <si>
    <t>B4</t>
  </si>
  <si>
    <t>B</t>
  </si>
  <si>
    <t>F1</t>
  </si>
  <si>
    <t>Argentina</t>
  </si>
  <si>
    <t>Nigeria</t>
  </si>
  <si>
    <t>F2</t>
  </si>
  <si>
    <t>Group B</t>
  </si>
  <si>
    <t>B1</t>
  </si>
  <si>
    <t>Spain</t>
  </si>
  <si>
    <t>Slovenia</t>
  </si>
  <si>
    <t>B2</t>
  </si>
  <si>
    <t>G3</t>
  </si>
  <si>
    <t>Croatia</t>
  </si>
  <si>
    <t>Mexico</t>
  </si>
  <si>
    <t>G4</t>
  </si>
  <si>
    <t>C1</t>
  </si>
  <si>
    <t>Brazil</t>
  </si>
  <si>
    <t>Turkey</t>
  </si>
  <si>
    <t>C2</t>
  </si>
  <si>
    <t>C</t>
  </si>
  <si>
    <t>G1</t>
  </si>
  <si>
    <t>Italy</t>
  </si>
  <si>
    <t>Ecuador</t>
  </si>
  <si>
    <t>G2</t>
  </si>
  <si>
    <t>C3</t>
  </si>
  <si>
    <t>China</t>
  </si>
  <si>
    <t>Costa Rica</t>
  </si>
  <si>
    <t>C4</t>
  </si>
  <si>
    <t>H1</t>
  </si>
  <si>
    <t>Japan</t>
  </si>
  <si>
    <t>Belgium</t>
  </si>
  <si>
    <t>H2</t>
  </si>
  <si>
    <t>H</t>
  </si>
  <si>
    <r>
      <t>1</t>
    </r>
    <r>
      <rPr>
        <vertAlign val="superscript"/>
        <sz val="7"/>
        <rFont val="Arial"/>
        <family val="2"/>
      </rPr>
      <t>e</t>
    </r>
  </si>
  <si>
    <t>D1</t>
  </si>
  <si>
    <t>South Korea</t>
  </si>
  <si>
    <t>Poland</t>
  </si>
  <si>
    <t>D2</t>
  </si>
  <si>
    <t>Group C</t>
  </si>
  <si>
    <r>
      <t>2</t>
    </r>
    <r>
      <rPr>
        <vertAlign val="superscript"/>
        <sz val="7"/>
        <rFont val="Arial"/>
        <family val="2"/>
      </rPr>
      <t>e</t>
    </r>
  </si>
  <si>
    <t>H3</t>
  </si>
  <si>
    <t>Russia</t>
  </si>
  <si>
    <t>Tunisia</t>
  </si>
  <si>
    <t>H4</t>
  </si>
  <si>
    <r>
      <t>3</t>
    </r>
    <r>
      <rPr>
        <vertAlign val="superscript"/>
        <sz val="7"/>
        <rFont val="Arial"/>
        <family val="2"/>
      </rPr>
      <t>e</t>
    </r>
  </si>
  <si>
    <t>D3</t>
  </si>
  <si>
    <t>USA</t>
  </si>
  <si>
    <t>Portugal</t>
  </si>
  <si>
    <t>D4</t>
  </si>
  <si>
    <r>
      <t>4</t>
    </r>
    <r>
      <rPr>
        <vertAlign val="superscript"/>
        <sz val="7"/>
        <rFont val="Arial"/>
        <family val="2"/>
      </rPr>
      <t>e</t>
    </r>
  </si>
  <si>
    <t>Group D</t>
  </si>
  <si>
    <t>UITSLAGEN KWALIFICATIE - HEREN</t>
  </si>
  <si>
    <t>UITSLAGEN KWALIFICATIERONDE - HEREN</t>
  </si>
  <si>
    <t>Group E</t>
  </si>
  <si>
    <t>Group F</t>
  </si>
  <si>
    <t>Group G</t>
  </si>
  <si>
    <t>Group H</t>
  </si>
  <si>
    <t>I1</t>
  </si>
  <si>
    <t>I2</t>
  </si>
  <si>
    <t>I3</t>
  </si>
  <si>
    <t>I4</t>
  </si>
  <si>
    <t>Kwalificatie - Alle nrs. 3</t>
  </si>
  <si>
    <t>PLAATS</t>
  </si>
  <si>
    <t>Winnaars - Beste nrs. 2</t>
  </si>
  <si>
    <t>UITSLAGEN  -  WINNAARS</t>
  </si>
  <si>
    <t>Poule K</t>
  </si>
  <si>
    <t>Poule L</t>
  </si>
  <si>
    <r>
      <t>1</t>
    </r>
    <r>
      <rPr>
        <b/>
        <vertAlign val="superscript"/>
        <sz val="7"/>
        <rFont val="Arial"/>
        <family val="2"/>
      </rPr>
      <t>e</t>
    </r>
  </si>
  <si>
    <r>
      <t>2</t>
    </r>
    <r>
      <rPr>
        <b/>
        <vertAlign val="superscript"/>
        <sz val="7"/>
        <rFont val="Arial"/>
        <family val="2"/>
      </rPr>
      <t>e</t>
    </r>
  </si>
  <si>
    <r>
      <t>3</t>
    </r>
    <r>
      <rPr>
        <b/>
        <vertAlign val="superscript"/>
        <sz val="7"/>
        <rFont val="Arial"/>
        <family val="2"/>
      </rPr>
      <t>e</t>
    </r>
  </si>
  <si>
    <r>
      <t>4</t>
    </r>
    <r>
      <rPr>
        <b/>
        <vertAlign val="superscript"/>
        <sz val="7"/>
        <rFont val="Arial"/>
        <family val="2"/>
      </rPr>
      <t>e</t>
    </r>
  </si>
  <si>
    <t>Poule M</t>
  </si>
  <si>
    <t>Poule N</t>
  </si>
  <si>
    <t>UITSLAGEN WINNAARS RONDE - HEREN</t>
  </si>
  <si>
    <t>Poule O</t>
  </si>
  <si>
    <t>Poule P</t>
  </si>
  <si>
    <t>UITSLAGEN  -  RECREANTEN</t>
  </si>
  <si>
    <t>Groep W</t>
  </si>
  <si>
    <t>Groep X</t>
  </si>
  <si>
    <t>Groep Y</t>
  </si>
  <si>
    <t>Groep Z</t>
  </si>
  <si>
    <t>UITSLAGEN  -  DAMES</t>
  </si>
  <si>
    <t>Poule Dames</t>
  </si>
  <si>
    <t>Ptn</t>
  </si>
  <si>
    <r>
      <t>1</t>
    </r>
    <r>
      <rPr>
        <vertAlign val="superscript"/>
        <sz val="7"/>
        <color theme="0"/>
        <rFont val="Arial"/>
        <family val="2"/>
      </rPr>
      <t>e</t>
    </r>
  </si>
  <si>
    <r>
      <t>2</t>
    </r>
    <r>
      <rPr>
        <vertAlign val="superscript"/>
        <sz val="7"/>
        <color theme="0"/>
        <rFont val="Arial"/>
        <family val="2"/>
      </rPr>
      <t>e</t>
    </r>
  </si>
  <si>
    <r>
      <t>3</t>
    </r>
    <r>
      <rPr>
        <vertAlign val="superscript"/>
        <sz val="7"/>
        <color theme="0"/>
        <rFont val="Arial"/>
        <family val="2"/>
      </rPr>
      <t>e</t>
    </r>
  </si>
  <si>
    <r>
      <t>4</t>
    </r>
    <r>
      <rPr>
        <vertAlign val="superscript"/>
        <sz val="7"/>
        <color theme="0"/>
        <rFont val="Arial"/>
        <family val="2"/>
      </rPr>
      <t>e</t>
    </r>
  </si>
  <si>
    <t>Score</t>
  </si>
  <si>
    <t>SCHEIDSRECHTERSCHEMA</t>
  </si>
  <si>
    <t>veld 1</t>
  </si>
  <si>
    <t>veld 2</t>
  </si>
  <si>
    <t>veld 3</t>
  </si>
  <si>
    <t>veld 4</t>
  </si>
  <si>
    <t>veld 6</t>
  </si>
  <si>
    <t>veld 5</t>
  </si>
  <si>
    <t>VELD 1</t>
  </si>
  <si>
    <t>VELD 2</t>
  </si>
  <si>
    <t>VELD 3</t>
  </si>
  <si>
    <t>VELD 4</t>
  </si>
  <si>
    <t>VELD 5</t>
  </si>
  <si>
    <t>VELD 6</t>
  </si>
  <si>
    <t>Geen wedstrijd</t>
  </si>
  <si>
    <t>dames veld 1 zie speelschema</t>
  </si>
  <si>
    <t>1e/2e plaats</t>
  </si>
  <si>
    <t>1e/2e</t>
  </si>
  <si>
    <t>FINALE WINNAARS</t>
  </si>
  <si>
    <t>FINALE VERLIEZERS</t>
  </si>
  <si>
    <t>Ronde</t>
  </si>
  <si>
    <t>Wijzig Tijd</t>
  </si>
  <si>
    <t>Startaanvang</t>
  </si>
  <si>
    <t>Poules</t>
  </si>
  <si>
    <t>10:30 - 10:45 uur</t>
  </si>
  <si>
    <t>KWALIFICATIE</t>
  </si>
  <si>
    <t>HEREN</t>
  </si>
  <si>
    <t>A-B + 1 x C</t>
  </si>
  <si>
    <t>EERSTE TEAM, 1e WEDSTRIJD</t>
  </si>
  <si>
    <t>10:45 - 11:00 uur</t>
  </si>
  <si>
    <t>D-E + 1 x C</t>
  </si>
  <si>
    <t>11:00 - 11:15 uur</t>
  </si>
  <si>
    <t>F-G + 1 x H</t>
  </si>
  <si>
    <t>11:15 - 11:30 uur</t>
  </si>
  <si>
    <t>A-B + 1 x H</t>
  </si>
  <si>
    <t>LAATSTE TEAM 1e WEDSTRIJD</t>
  </si>
  <si>
    <t>11:30 - 11:45 uur</t>
  </si>
  <si>
    <t>11:45 - 12:00 uur</t>
  </si>
  <si>
    <t>F-G + 1 x C</t>
  </si>
  <si>
    <t>12:00 - 12:15 uur</t>
  </si>
  <si>
    <t>12:15 - 12:30 uur</t>
  </si>
  <si>
    <t>D-E + 1 x H</t>
  </si>
  <si>
    <t>EERSTE TEAM, PAUZE</t>
  </si>
  <si>
    <t>12:30 - 12:45 uur</t>
  </si>
  <si>
    <t xml:space="preserve">F-G </t>
  </si>
  <si>
    <t>12:45 - 13:00 uur</t>
  </si>
  <si>
    <t>C-H</t>
  </si>
  <si>
    <t>LAATSTE TEAM PAUZE</t>
  </si>
  <si>
    <t>13:00 - 13:15 uur</t>
  </si>
  <si>
    <t>13:15 - 13:30 uur</t>
  </si>
  <si>
    <t>13:30 - 13:45 uur</t>
  </si>
  <si>
    <t>HEREN WIN</t>
  </si>
  <si>
    <t>EERSTE TEAM NA PAUZE</t>
  </si>
  <si>
    <t>13:45 - 14.00 uur</t>
  </si>
  <si>
    <t>14:00 - 14:15 uur</t>
  </si>
  <si>
    <t>14:15 - 14:30 uur</t>
  </si>
  <si>
    <t>4 + 2</t>
  </si>
  <si>
    <t>LAATSTE TEAM NA PAUZE</t>
  </si>
  <si>
    <t>14:30 - 14:45 uur</t>
  </si>
  <si>
    <t>14:45 - 15.00 uur</t>
  </si>
  <si>
    <t>EERSTE TEAM, UITGESCHAKELD</t>
  </si>
  <si>
    <t>2 + 4</t>
  </si>
  <si>
    <t>FINALES</t>
  </si>
  <si>
    <t>2 + 2</t>
  </si>
  <si>
    <t xml:space="preserve">Wijzig het jaartal in deze tekst </t>
  </si>
  <si>
    <t>Naam toernooi (in hoofdletters)</t>
  </si>
  <si>
    <t>Naam eerste ronde</t>
  </si>
  <si>
    <t>Vul hieronder de scheidsrechternamen in!</t>
  </si>
  <si>
    <t>Diek Lohle</t>
  </si>
  <si>
    <t>RONDE 12</t>
  </si>
  <si>
    <t>HEREN RECR</t>
  </si>
  <si>
    <t>HEREN RECR + DAMES</t>
  </si>
  <si>
    <t>DAMES + HEREN WIN</t>
  </si>
  <si>
    <t>HEREN WIN + RECR</t>
  </si>
  <si>
    <t>HEREN FIN</t>
  </si>
  <si>
    <t>HEREN HF + RECR HF</t>
  </si>
  <si>
    <t>DAMES FIN + RECR FIN</t>
  </si>
  <si>
    <t>17:45 - 18:05 uur</t>
  </si>
  <si>
    <t>SCOREKAART - HVC2016</t>
  </si>
  <si>
    <t>HALVE VELDJES CUP 2016</t>
  </si>
  <si>
    <t>Titus Bouwman</t>
  </si>
  <si>
    <t>Scheids 3</t>
  </si>
  <si>
    <t>Scheids 4</t>
  </si>
  <si>
    <t>Scheids 5</t>
  </si>
  <si>
    <t>Scheids 6</t>
  </si>
  <si>
    <t>Scheids 10</t>
  </si>
  <si>
    <t>Scheids 11</t>
  </si>
  <si>
    <t>Scheids 12</t>
  </si>
  <si>
    <t>Scheids 13</t>
  </si>
  <si>
    <t>Scheids 14</t>
  </si>
  <si>
    <t>Scheids 7</t>
  </si>
  <si>
    <t>Scheids 8</t>
  </si>
  <si>
    <t>Scheids 9</t>
  </si>
  <si>
    <t>1 + 1</t>
  </si>
  <si>
    <t>EINDRONDE</t>
  </si>
  <si>
    <t>KWALIFICATIE  -  HALVE VELDJES CUP</t>
  </si>
  <si>
    <t>DA1</t>
  </si>
  <si>
    <t>DA2</t>
  </si>
  <si>
    <t>DA3</t>
  </si>
  <si>
    <t>DA4</t>
  </si>
  <si>
    <t>HEREN RECR + DAMES KW</t>
  </si>
  <si>
    <t>DAMES KW</t>
  </si>
  <si>
    <t>EINDRONDE  - HALVE VELDJES CUP</t>
  </si>
  <si>
    <t>RONDE 11</t>
  </si>
  <si>
    <t>DAMES POULE X</t>
  </si>
  <si>
    <t>DAMES POULE Y</t>
  </si>
  <si>
    <t>DAMES POULE Z</t>
  </si>
  <si>
    <t>18:05 - 18:20 uur</t>
  </si>
  <si>
    <t>DAMES POULE W</t>
  </si>
  <si>
    <t>De Torpedo's</t>
  </si>
  <si>
    <t>Het Bestuur</t>
  </si>
  <si>
    <t>AccentSport Rakkers</t>
  </si>
  <si>
    <t>De Doofpot</t>
  </si>
  <si>
    <t>Fons Vitaeplein</t>
  </si>
  <si>
    <t>De Flitsers 3</t>
  </si>
  <si>
    <t>Carte blanche</t>
  </si>
  <si>
    <t>Vrienden van Van Essen</t>
  </si>
  <si>
    <t>FC Carnabal</t>
  </si>
  <si>
    <t>FC Vondelpark</t>
  </si>
  <si>
    <t>De Kabel</t>
  </si>
  <si>
    <t>Team Bombert</t>
  </si>
  <si>
    <t>Jenever op de Schinkel</t>
  </si>
  <si>
    <t>IAMB&amp;B</t>
  </si>
  <si>
    <t>FC Papa</t>
  </si>
  <si>
    <t>FC EPERNAY</t>
  </si>
  <si>
    <t>MAN ON F.C</t>
  </si>
  <si>
    <t>Monnie Represent</t>
  </si>
  <si>
    <t>IRRIDUCIBILI</t>
  </si>
  <si>
    <t>Amsterdam Finest ss16</t>
  </si>
  <si>
    <t>Scherp Online</t>
  </si>
  <si>
    <t>Sammi's Sweathearts</t>
  </si>
  <si>
    <t>#illuminaticonfirmed</t>
  </si>
  <si>
    <t>Combiwel</t>
  </si>
  <si>
    <t>Wart6</t>
  </si>
  <si>
    <t>Swiffie 5</t>
  </si>
  <si>
    <t>Correctie veld 4</t>
  </si>
  <si>
    <t>Team Bublé</t>
  </si>
  <si>
    <t>FC Isjeneefer</t>
  </si>
  <si>
    <t>Kampongveldert</t>
  </si>
  <si>
    <t>Orion</t>
  </si>
  <si>
    <t>RESERVE 1</t>
  </si>
  <si>
    <t>RESERVE 2</t>
  </si>
  <si>
    <t>Veddetero's klunzen</t>
  </si>
  <si>
    <t>Recreanten - Poule Q</t>
  </si>
  <si>
    <t>Recreanten - Poule R</t>
  </si>
  <si>
    <t>Recreanten - Poule S</t>
  </si>
  <si>
    <t>Recreanten - Poule T</t>
  </si>
  <si>
    <t>Pilsmaten</t>
  </si>
  <si>
    <t>Geuzenmiddenmeer</t>
  </si>
  <si>
    <t>TEC-BTV</t>
  </si>
  <si>
    <t>Rap</t>
  </si>
  <si>
    <t>De Dinkies</t>
  </si>
  <si>
    <t>De Westfriesies</t>
  </si>
  <si>
    <t>About to get Messi</t>
  </si>
  <si>
    <t>AMVJ</t>
  </si>
  <si>
    <t>KFC zaterdag VR 35+</t>
  </si>
  <si>
    <t>Fortius 1 dames 35+</t>
  </si>
  <si>
    <t>Swift Dames</t>
  </si>
  <si>
    <t>De Ronaldozen</t>
  </si>
  <si>
    <t>AntiLope</t>
  </si>
  <si>
    <t>Mysterieuze Missers</t>
  </si>
  <si>
    <t>Borrelnood</t>
  </si>
  <si>
    <t>De Chouffjes</t>
  </si>
  <si>
    <t>De Vedettjes</t>
  </si>
  <si>
    <t>Halve finale - RECREANTEN</t>
  </si>
  <si>
    <t>Finale - RECREANTEN</t>
  </si>
  <si>
    <t>HALVE FINALE - WINNAARS</t>
  </si>
  <si>
    <t>DAMES - FINALES</t>
  </si>
  <si>
    <t>Nr. 2 Poule Z</t>
  </si>
  <si>
    <t>Nr. 1 Poule Z</t>
  </si>
  <si>
    <t>Nr. 2 Poule Y</t>
  </si>
  <si>
    <t>Nr. 1 Poule Y</t>
  </si>
  <si>
    <t>Winnaar 1eZ - 2eY</t>
  </si>
  <si>
    <t>Winnaar 1eY-2eZ</t>
  </si>
  <si>
    <t>Nr. 1 Poule V</t>
  </si>
  <si>
    <t>Nr. 1 Poule W</t>
  </si>
  <si>
    <t>Nr. 2 Poule W</t>
  </si>
  <si>
    <t>Nr. 2 Poule V</t>
  </si>
  <si>
    <t>Winnaar 1eV - 2eW</t>
  </si>
  <si>
    <t>Winnaar 1eW-2eV</t>
  </si>
  <si>
    <t xml:space="preserve">De Pintjes </t>
  </si>
  <si>
    <t>Swift Zondag 11</t>
  </si>
  <si>
    <t>Patti don't shout @ me</t>
  </si>
  <si>
    <t>Om des Keijzers baerdt</t>
  </si>
  <si>
    <t>Fred Bacon Zalf-fabriekje</t>
  </si>
  <si>
    <t>Asvv de Schollevers</t>
  </si>
  <si>
    <t>De nummers 1 en 2 van iedere poule plaatsen zich voor de Winnaarsronde en spelen een knock-out competitie.</t>
  </si>
  <si>
    <t>De nummers 3, 4 en 5 van iedere poule plaatsen zich voor de Recreanten knock-out competitie. Eerst spelen alle nummers 4 en 5 tegen elkaar. Vervolgens stromen alle nummers 3 in het schema.</t>
  </si>
  <si>
    <t>De nummers 1 en 2 van Winnaars en Recreanten plaatsen zich voor de halve finales. De nummers 3, 4 en 5 spelen tegen de nummer 3, 4 en 5 van de andere poule.</t>
  </si>
  <si>
    <t>Sporting Almere</t>
  </si>
  <si>
    <t>Radj</t>
  </si>
  <si>
    <t>Azedinne</t>
  </si>
  <si>
    <t>Jamal</t>
  </si>
  <si>
    <t>Titus</t>
  </si>
  <si>
    <t>Ruud</t>
  </si>
  <si>
    <t>RAP 2</t>
  </si>
  <si>
    <t>PUNTEN</t>
  </si>
  <si>
    <t>DOELSALDO</t>
  </si>
  <si>
    <t>GEEN WEDSTRIJD</t>
  </si>
  <si>
    <t>15:00 - 15:20 uur</t>
  </si>
  <si>
    <t>15:20 - 15:40 uur</t>
  </si>
  <si>
    <t>15:40 - 16:00 uur</t>
  </si>
  <si>
    <t>16:00 - 16:20 uur</t>
  </si>
  <si>
    <t>16:20 - 16:40 uur</t>
  </si>
  <si>
    <t>16:40 - 17:00 uur</t>
  </si>
  <si>
    <t>17:00 - 17:20 uur</t>
  </si>
  <si>
    <t>17:20 - 17:40 uur</t>
  </si>
  <si>
    <t>17:40 - 18:00 uur</t>
  </si>
  <si>
    <t>18:00 - 18:20 uur</t>
  </si>
  <si>
    <t>Reserve</t>
  </si>
  <si>
    <t>Scheids 1 &amp; Scheids 2</t>
  </si>
  <si>
    <t>Scheids 3 &amp; Scheids 4</t>
  </si>
  <si>
    <t>Scheids 5 &amp; Scheids 6</t>
  </si>
  <si>
    <t>Scheids 7 &amp; Scheids 8</t>
  </si>
  <si>
    <t>Scheids 9 &amp; Scheids 10</t>
  </si>
  <si>
    <t>Scheids 11 &amp; Scheids 12</t>
  </si>
  <si>
    <t>SCHEIDSRECHTER SCHEMA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</si>
</sst>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b/>
      <sz val="10"/>
      <name val="Arial"/>
      <family val="2"/>
    </font>
    <font>
      <b/>
      <sz val="20"/>
      <color indexed="9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32"/>
      <color indexed="9"/>
      <name val="Arial"/>
      <family val="2"/>
    </font>
    <font>
      <b/>
      <i/>
      <sz val="8"/>
      <color indexed="9"/>
      <name val="Arial"/>
      <family val="2"/>
    </font>
    <font>
      <b/>
      <sz val="24"/>
      <color indexed="9"/>
      <name val="Arial"/>
      <family val="2"/>
    </font>
    <font>
      <b/>
      <sz val="14"/>
      <color indexed="9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8"/>
      <color indexed="9"/>
      <name val="Arial"/>
      <family val="2"/>
    </font>
    <font>
      <b/>
      <i/>
      <sz val="7"/>
      <name val="Arial"/>
      <family val="2"/>
    </font>
    <font>
      <b/>
      <sz val="9"/>
      <color indexed="9"/>
      <name val="Arial"/>
      <family val="2"/>
    </font>
    <font>
      <sz val="8"/>
      <name val="Wingdings 2"/>
      <family val="1"/>
      <charset val="2"/>
    </font>
    <font>
      <sz val="10"/>
      <name val="Verdana"/>
      <family val="2"/>
    </font>
    <font>
      <b/>
      <sz val="18"/>
      <name val="Verdana"/>
      <family val="2"/>
    </font>
    <font>
      <b/>
      <sz val="12"/>
      <color indexed="9"/>
      <name val="Verdana"/>
      <family val="2"/>
    </font>
    <font>
      <sz val="10"/>
      <color indexed="9"/>
      <name val="Verdana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i/>
      <sz val="14"/>
      <color indexed="9"/>
      <name val="Verdana"/>
      <family val="2"/>
    </font>
    <font>
      <sz val="7"/>
      <name val="Verdana"/>
      <family val="2"/>
    </font>
    <font>
      <b/>
      <i/>
      <sz val="10"/>
      <color indexed="9"/>
      <name val="Arial"/>
      <family val="2"/>
    </font>
    <font>
      <b/>
      <sz val="18"/>
      <color indexed="9"/>
      <name val="Verdana"/>
      <family val="2"/>
    </font>
    <font>
      <sz val="8"/>
      <name val="Verdana"/>
      <family val="2"/>
    </font>
    <font>
      <b/>
      <sz val="8"/>
      <color indexed="9"/>
      <name val="Verdana"/>
      <family val="2"/>
    </font>
    <font>
      <sz val="6"/>
      <name val="Verdana"/>
      <family val="2"/>
    </font>
    <font>
      <vertAlign val="superscript"/>
      <sz val="7"/>
      <name val="Arial"/>
      <family val="2"/>
    </font>
    <font>
      <sz val="6"/>
      <color indexed="8"/>
      <name val="Verdana"/>
      <family val="2"/>
    </font>
    <font>
      <sz val="6"/>
      <color indexed="8"/>
      <name val="Arial"/>
      <family val="2"/>
    </font>
    <font>
      <i/>
      <sz val="6"/>
      <color indexed="8"/>
      <name val="Arial"/>
      <family val="2"/>
    </font>
    <font>
      <i/>
      <sz val="6"/>
      <color indexed="8"/>
      <name val="Verdana"/>
      <family val="2"/>
    </font>
    <font>
      <i/>
      <sz val="6"/>
      <color indexed="13"/>
      <name val="Arial"/>
      <family val="2"/>
    </font>
    <font>
      <i/>
      <sz val="6"/>
      <color indexed="13"/>
      <name val="Verdana"/>
      <family val="2"/>
    </font>
    <font>
      <sz val="6"/>
      <color indexed="13"/>
      <name val="Arial"/>
      <family val="2"/>
    </font>
    <font>
      <sz val="6"/>
      <name val="Arial"/>
      <family val="2"/>
    </font>
    <font>
      <b/>
      <sz val="12"/>
      <name val="Verdana"/>
      <family val="2"/>
    </font>
    <font>
      <i/>
      <sz val="6"/>
      <name val="Arial"/>
      <family val="2"/>
    </font>
    <font>
      <i/>
      <sz val="6"/>
      <name val="Verdana"/>
      <family val="2"/>
    </font>
    <font>
      <b/>
      <sz val="8"/>
      <name val="Verdana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i/>
      <sz val="14"/>
      <color indexed="9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vertAlign val="superscript"/>
      <sz val="7"/>
      <name val="Arial"/>
      <family val="2"/>
    </font>
    <font>
      <sz val="10"/>
      <name val="Courier"/>
      <family val="3"/>
    </font>
    <font>
      <sz val="10"/>
      <name val="Wingdings"/>
      <charset val="2"/>
    </font>
    <font>
      <sz val="8"/>
      <name val="Wingdings"/>
      <charset val="2"/>
    </font>
    <font>
      <b/>
      <sz val="10"/>
      <name val="Courier"/>
    </font>
    <font>
      <b/>
      <sz val="10"/>
      <color theme="0"/>
      <name val="Arial"/>
      <family val="2"/>
    </font>
    <font>
      <vertAlign val="superscript"/>
      <sz val="8"/>
      <name val="Arial"/>
      <family val="2"/>
    </font>
    <font>
      <sz val="7"/>
      <color theme="0"/>
      <name val="Arial"/>
      <family val="2"/>
    </font>
    <font>
      <b/>
      <i/>
      <sz val="14"/>
      <color theme="0"/>
      <name val="Verdana"/>
      <family val="2"/>
    </font>
    <font>
      <b/>
      <sz val="7"/>
      <color theme="0"/>
      <name val="Arial"/>
      <family val="2"/>
    </font>
    <font>
      <vertAlign val="superscript"/>
      <sz val="7"/>
      <color theme="0"/>
      <name val="Arial"/>
      <family val="2"/>
    </font>
    <font>
      <sz val="24"/>
      <color indexed="9"/>
      <name val="Arial"/>
      <family val="2"/>
    </font>
    <font>
      <sz val="30"/>
      <color theme="1"/>
      <name val="American Captain"/>
    </font>
    <font>
      <sz val="30"/>
      <name val="Arial"/>
      <family val="2"/>
    </font>
    <font>
      <sz val="9"/>
      <name val="Arial"/>
      <family val="2"/>
    </font>
    <font>
      <sz val="26"/>
      <name val="American Captain"/>
    </font>
    <font>
      <b/>
      <sz val="9"/>
      <color theme="0"/>
      <name val="Arial"/>
      <family val="2"/>
    </font>
    <font>
      <sz val="26"/>
      <color indexed="9"/>
      <name val="American Captain"/>
    </font>
    <font>
      <sz val="28"/>
      <color indexed="9"/>
      <name val="American Captain"/>
    </font>
    <font>
      <sz val="24"/>
      <color theme="1"/>
      <name val="American Captain"/>
    </font>
    <font>
      <sz val="14"/>
      <name val="American Captain"/>
    </font>
    <font>
      <sz val="26"/>
      <color theme="0"/>
      <name val="American Captain"/>
    </font>
    <font>
      <i/>
      <sz val="8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8"/>
      <color theme="0"/>
      <name val="Verdana"/>
      <family val="2"/>
    </font>
    <font>
      <sz val="11"/>
      <name val="Arial"/>
      <family val="2"/>
    </font>
    <font>
      <b/>
      <sz val="14"/>
      <name val="American Captain"/>
    </font>
    <font>
      <sz val="30"/>
      <color rgb="FFFFFF00"/>
      <name val="American Captain"/>
    </font>
    <font>
      <b/>
      <i/>
      <sz val="8"/>
      <color theme="0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6"/>
      <name val="American Captain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970FF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/>
      <right style="thin">
        <color indexed="9"/>
      </right>
      <top style="thick">
        <color indexed="9"/>
      </top>
      <bottom/>
      <diagonal style="thick">
        <color indexed="9"/>
      </diagonal>
    </border>
    <border diagonalUp="1">
      <left style="thin">
        <color indexed="9"/>
      </left>
      <right style="thin">
        <color indexed="9"/>
      </right>
      <top style="thick">
        <color indexed="9"/>
      </top>
      <bottom/>
      <diagonal style="thick">
        <color indexed="9"/>
      </diagonal>
    </border>
    <border>
      <left style="thin">
        <color indexed="9"/>
      </left>
      <right style="thin">
        <color indexed="9"/>
      </right>
      <top style="thick">
        <color indexed="9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7" fillId="0" borderId="0"/>
    <xf numFmtId="0" fontId="2" fillId="0" borderId="0"/>
    <xf numFmtId="0" fontId="1" fillId="0" borderId="0"/>
  </cellStyleXfs>
  <cellXfs count="572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6" fillId="0" borderId="0" xfId="0" applyFont="1"/>
    <xf numFmtId="0" fontId="0" fillId="2" borderId="0" xfId="0" applyFill="1"/>
    <xf numFmtId="0" fontId="6" fillId="0" borderId="0" xfId="0" applyFont="1" applyAlignment="1">
      <alignment horizontal="center"/>
    </xf>
    <xf numFmtId="0" fontId="0" fillId="0" borderId="0" xfId="0" applyBorder="1" applyAlignment="1"/>
    <xf numFmtId="0" fontId="6" fillId="0" borderId="0" xfId="0" applyFont="1" applyAlignment="1">
      <alignment horizontal="left"/>
    </xf>
    <xf numFmtId="0" fontId="6" fillId="0" borderId="0" xfId="0" applyFont="1" applyBorder="1"/>
    <xf numFmtId="0" fontId="4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0" fillId="2" borderId="0" xfId="0" applyFont="1" applyFill="1" applyAlignment="1"/>
    <xf numFmtId="0" fontId="16" fillId="3" borderId="0" xfId="0" applyFont="1" applyFill="1"/>
    <xf numFmtId="0" fontId="15" fillId="0" borderId="0" xfId="0" applyFont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20" fillId="0" borderId="0" xfId="0" applyFont="1"/>
    <xf numFmtId="0" fontId="21" fillId="0" borderId="0" xfId="0" applyFont="1" applyAlignment="1">
      <alignment horizontal="centerContinuous" wrapText="1"/>
    </xf>
    <xf numFmtId="21" fontId="20" fillId="0" borderId="0" xfId="0" applyNumberFormat="1" applyFont="1" applyFill="1"/>
    <xf numFmtId="0" fontId="23" fillId="0" borderId="0" xfId="0" applyFont="1"/>
    <xf numFmtId="0" fontId="20" fillId="0" borderId="0" xfId="0" applyFont="1" applyAlignment="1">
      <alignment horizontal="right"/>
    </xf>
    <xf numFmtId="21" fontId="23" fillId="0" borderId="0" xfId="0" applyNumberFormat="1" applyFont="1" applyFill="1"/>
    <xf numFmtId="21" fontId="20" fillId="0" borderId="0" xfId="0" applyNumberFormat="1" applyFont="1"/>
    <xf numFmtId="0" fontId="24" fillId="0" borderId="0" xfId="0" applyFont="1" applyFill="1"/>
    <xf numFmtId="0" fontId="24" fillId="0" borderId="0" xfId="0" applyFont="1" applyFill="1" applyBorder="1"/>
    <xf numFmtId="0" fontId="24" fillId="0" borderId="1" xfId="0" applyFont="1" applyFill="1" applyBorder="1"/>
    <xf numFmtId="0" fontId="24" fillId="0" borderId="2" xfId="0" applyFont="1" applyFill="1" applyBorder="1"/>
    <xf numFmtId="0" fontId="25" fillId="0" borderId="0" xfId="0" applyFont="1" applyFill="1" applyBorder="1" applyAlignment="1">
      <alignment horizontal="right"/>
    </xf>
    <xf numFmtId="0" fontId="24" fillId="0" borderId="3" xfId="0" applyFont="1" applyFill="1" applyBorder="1"/>
    <xf numFmtId="0" fontId="24" fillId="0" borderId="0" xfId="0" applyFont="1" applyFill="1" applyBorder="1" applyAlignment="1">
      <alignment horizontal="right"/>
    </xf>
    <xf numFmtId="0" fontId="24" fillId="0" borderId="4" xfId="0" applyFont="1" applyFill="1" applyBorder="1"/>
    <xf numFmtId="0" fontId="25" fillId="0" borderId="6" xfId="0" applyFont="1" applyFill="1" applyBorder="1" applyAlignment="1">
      <alignment horizontal="center"/>
    </xf>
    <xf numFmtId="0" fontId="24" fillId="0" borderId="5" xfId="0" applyFont="1" applyFill="1" applyBorder="1"/>
    <xf numFmtId="0" fontId="28" fillId="0" borderId="0" xfId="0" applyFont="1" applyBorder="1" applyAlignment="1">
      <alignment horizontal="right"/>
    </xf>
    <xf numFmtId="0" fontId="28" fillId="0" borderId="0" xfId="0" applyFont="1" applyBorder="1"/>
    <xf numFmtId="0" fontId="17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horizontal="centerContinuous"/>
    </xf>
    <xf numFmtId="0" fontId="22" fillId="5" borderId="0" xfId="0" applyFont="1" applyFill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8" fillId="0" borderId="0" xfId="0" applyFont="1" applyBorder="1" applyAlignment="1">
      <alignment horizontal="left"/>
    </xf>
    <xf numFmtId="0" fontId="31" fillId="0" borderId="0" xfId="0" applyFont="1"/>
    <xf numFmtId="0" fontId="32" fillId="4" borderId="0" xfId="0" applyFont="1" applyFill="1" applyBorder="1" applyAlignment="1">
      <alignment horizontal="centerContinuous"/>
    </xf>
    <xf numFmtId="0" fontId="32" fillId="5" borderId="0" xfId="0" applyFont="1" applyFill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3" fillId="0" borderId="0" xfId="0" applyFont="1"/>
    <xf numFmtId="0" fontId="28" fillId="0" borderId="0" xfId="0" applyFont="1" applyFill="1" applyBorder="1"/>
    <xf numFmtId="0" fontId="36" fillId="6" borderId="0" xfId="0" applyFont="1" applyFill="1" applyBorder="1" applyAlignment="1">
      <alignment horizontal="right"/>
    </xf>
    <xf numFmtId="0" fontId="35" fillId="6" borderId="0" xfId="0" applyFont="1" applyFill="1" applyBorder="1" applyAlignment="1">
      <alignment horizontal="right"/>
    </xf>
    <xf numFmtId="0" fontId="36" fillId="6" borderId="0" xfId="0" applyFont="1" applyFill="1" applyAlignment="1">
      <alignment horizontal="right"/>
    </xf>
    <xf numFmtId="0" fontId="37" fillId="6" borderId="0" xfId="0" applyFont="1" applyFill="1" applyBorder="1" applyAlignment="1">
      <alignment horizontal="right"/>
    </xf>
    <xf numFmtId="0" fontId="38" fillId="6" borderId="0" xfId="0" applyFont="1" applyFill="1" applyBorder="1" applyAlignment="1">
      <alignment horizontal="right"/>
    </xf>
    <xf numFmtId="0" fontId="37" fillId="6" borderId="0" xfId="0" applyFont="1" applyFill="1" applyAlignment="1">
      <alignment horizontal="right"/>
    </xf>
    <xf numFmtId="0" fontId="35" fillId="6" borderId="0" xfId="0" applyFont="1" applyFill="1" applyAlignment="1">
      <alignment horizontal="right"/>
    </xf>
    <xf numFmtId="0" fontId="39" fillId="6" borderId="0" xfId="0" applyFont="1" applyFill="1" applyBorder="1" applyAlignment="1">
      <alignment horizontal="right"/>
    </xf>
    <xf numFmtId="0" fontId="40" fillId="6" borderId="0" xfId="0" applyFont="1" applyFill="1" applyBorder="1" applyAlignment="1">
      <alignment horizontal="right"/>
    </xf>
    <xf numFmtId="0" fontId="41" fillId="6" borderId="0" xfId="0" applyFont="1" applyFill="1" applyBorder="1" applyAlignment="1">
      <alignment horizontal="right"/>
    </xf>
    <xf numFmtId="0" fontId="33" fillId="6" borderId="0" xfId="0" applyFont="1" applyFill="1" applyAlignment="1">
      <alignment horizontal="right"/>
    </xf>
    <xf numFmtId="0" fontId="20" fillId="6" borderId="0" xfId="0" applyFont="1" applyFill="1"/>
    <xf numFmtId="0" fontId="21" fillId="6" borderId="0" xfId="0" applyFont="1" applyFill="1" applyAlignment="1">
      <alignment horizontal="right" wrapText="1"/>
    </xf>
    <xf numFmtId="0" fontId="21" fillId="6" borderId="0" xfId="0" applyFont="1" applyFill="1" applyAlignment="1">
      <alignment horizontal="centerContinuous" wrapText="1"/>
    </xf>
    <xf numFmtId="0" fontId="42" fillId="6" borderId="0" xfId="0" applyFont="1" applyFill="1" applyAlignment="1">
      <alignment horizontal="right"/>
    </xf>
    <xf numFmtId="0" fontId="20" fillId="6" borderId="0" xfId="0" applyFont="1" applyFill="1" applyAlignment="1">
      <alignment horizontal="right"/>
    </xf>
    <xf numFmtId="0" fontId="33" fillId="6" borderId="0" xfId="0" applyFont="1" applyFill="1" applyBorder="1" applyAlignment="1">
      <alignment horizontal="right"/>
    </xf>
    <xf numFmtId="21" fontId="20" fillId="6" borderId="0" xfId="0" applyNumberFormat="1" applyFont="1" applyFill="1"/>
    <xf numFmtId="0" fontId="42" fillId="6" borderId="0" xfId="0" applyFont="1" applyFill="1" applyBorder="1" applyAlignment="1">
      <alignment horizontal="right"/>
    </xf>
    <xf numFmtId="0" fontId="43" fillId="6" borderId="0" xfId="0" applyFont="1" applyFill="1" applyBorder="1" applyAlignment="1">
      <alignment horizontal="centerContinuous"/>
    </xf>
    <xf numFmtId="0" fontId="43" fillId="6" borderId="0" xfId="0" applyFont="1" applyFill="1" applyBorder="1" applyAlignment="1">
      <alignment horizontal="right"/>
    </xf>
    <xf numFmtId="0" fontId="43" fillId="6" borderId="0" xfId="0" applyFont="1" applyFill="1" applyBorder="1" applyAlignment="1">
      <alignment horizontal="center"/>
    </xf>
    <xf numFmtId="0" fontId="44" fillId="6" borderId="0" xfId="0" applyFont="1" applyFill="1" applyBorder="1" applyAlignment="1">
      <alignment horizontal="right"/>
    </xf>
    <xf numFmtId="0" fontId="45" fillId="6" borderId="0" xfId="0" applyFont="1" applyFill="1" applyBorder="1" applyAlignment="1">
      <alignment horizontal="right"/>
    </xf>
    <xf numFmtId="0" fontId="45" fillId="6" borderId="7" xfId="0" applyFont="1" applyFill="1" applyBorder="1" applyAlignment="1">
      <alignment horizontal="right"/>
    </xf>
    <xf numFmtId="0" fontId="45" fillId="6" borderId="7" xfId="0" applyFont="1" applyFill="1" applyBorder="1"/>
    <xf numFmtId="0" fontId="45" fillId="6" borderId="0" xfId="0" applyFont="1" applyFill="1" applyBorder="1"/>
    <xf numFmtId="0" fontId="44" fillId="6" borderId="0" xfId="0" applyFont="1" applyFill="1" applyAlignment="1">
      <alignment horizontal="right"/>
    </xf>
    <xf numFmtId="0" fontId="33" fillId="6" borderId="7" xfId="0" applyFont="1" applyFill="1" applyBorder="1" applyAlignment="1">
      <alignment horizontal="right"/>
    </xf>
    <xf numFmtId="0" fontId="33" fillId="6" borderId="7" xfId="0" applyFont="1" applyFill="1" applyBorder="1"/>
    <xf numFmtId="0" fontId="33" fillId="6" borderId="0" xfId="0" applyFont="1" applyFill="1" applyBorder="1"/>
    <xf numFmtId="0" fontId="33" fillId="6" borderId="0" xfId="0" applyFont="1" applyFill="1"/>
    <xf numFmtId="0" fontId="46" fillId="6" borderId="0" xfId="0" applyFont="1" applyFill="1" applyBorder="1" applyAlignment="1">
      <alignment horizontal="centerContinuous"/>
    </xf>
    <xf numFmtId="0" fontId="46" fillId="6" borderId="0" xfId="0" applyFont="1" applyFill="1" applyBorder="1" applyAlignment="1">
      <alignment horizontal="right"/>
    </xf>
    <xf numFmtId="0" fontId="46" fillId="6" borderId="0" xfId="0" applyFont="1" applyFill="1" applyBorder="1" applyAlignment="1">
      <alignment horizontal="center"/>
    </xf>
    <xf numFmtId="0" fontId="31" fillId="6" borderId="0" xfId="0" applyFont="1" applyFill="1"/>
    <xf numFmtId="0" fontId="31" fillId="6" borderId="0" xfId="0" applyFont="1" applyFill="1" applyAlignment="1">
      <alignment horizontal="right"/>
    </xf>
    <xf numFmtId="0" fontId="31" fillId="6" borderId="7" xfId="0" applyFont="1" applyFill="1" applyBorder="1" applyAlignment="1">
      <alignment horizontal="right"/>
    </xf>
    <xf numFmtId="0" fontId="31" fillId="6" borderId="7" xfId="0" applyFont="1" applyFill="1" applyBorder="1"/>
    <xf numFmtId="0" fontId="47" fillId="0" borderId="8" xfId="1" applyBorder="1"/>
    <xf numFmtId="0" fontId="47" fillId="0" borderId="9" xfId="1" applyBorder="1"/>
    <xf numFmtId="0" fontId="47" fillId="0" borderId="10" xfId="1" applyBorder="1"/>
    <xf numFmtId="0" fontId="47" fillId="0" borderId="0" xfId="1"/>
    <xf numFmtId="0" fontId="47" fillId="0" borderId="11" xfId="1" applyBorder="1"/>
    <xf numFmtId="0" fontId="47" fillId="0" borderId="12" xfId="1" applyBorder="1"/>
    <xf numFmtId="0" fontId="47" fillId="0" borderId="0" xfId="1" applyFill="1" applyBorder="1"/>
    <xf numFmtId="0" fontId="47" fillId="0" borderId="13" xfId="1" applyFill="1" applyBorder="1" applyAlignment="1"/>
    <xf numFmtId="0" fontId="48" fillId="0" borderId="11" xfId="1" applyFont="1" applyBorder="1"/>
    <xf numFmtId="0" fontId="48" fillId="0" borderId="12" xfId="1" applyFont="1" applyBorder="1"/>
    <xf numFmtId="0" fontId="48" fillId="0" borderId="0" xfId="1" applyFont="1"/>
    <xf numFmtId="0" fontId="50" fillId="0" borderId="0" xfId="1" applyFont="1" applyFill="1" applyBorder="1"/>
    <xf numFmtId="0" fontId="47" fillId="0" borderId="0" xfId="1" applyFill="1" applyBorder="1" applyAlignment="1"/>
    <xf numFmtId="0" fontId="47" fillId="0" borderId="0" xfId="1" applyBorder="1"/>
    <xf numFmtId="0" fontId="47" fillId="0" borderId="7" xfId="1" applyBorder="1"/>
    <xf numFmtId="0" fontId="47" fillId="0" borderId="14" xfId="1" applyBorder="1"/>
    <xf numFmtId="0" fontId="47" fillId="0" borderId="13" xfId="1" applyBorder="1"/>
    <xf numFmtId="0" fontId="47" fillId="0" borderId="15" xfId="1" applyBorder="1"/>
    <xf numFmtId="0" fontId="51" fillId="2" borderId="7" xfId="1" quotePrefix="1" applyFont="1" applyFill="1" applyBorder="1" applyAlignment="1">
      <alignment horizontal="center" vertical="center"/>
    </xf>
    <xf numFmtId="0" fontId="49" fillId="3" borderId="16" xfId="1" quotePrefix="1" applyFont="1" applyFill="1" applyBorder="1" applyAlignment="1">
      <alignment horizontal="center" vertical="center"/>
    </xf>
    <xf numFmtId="0" fontId="49" fillId="2" borderId="0" xfId="1" quotePrefix="1" applyFont="1" applyFill="1" applyBorder="1" applyAlignment="1">
      <alignment horizontal="left" vertical="center"/>
    </xf>
    <xf numFmtId="0" fontId="47" fillId="0" borderId="17" xfId="1" applyBorder="1"/>
    <xf numFmtId="20" fontId="15" fillId="0" borderId="0" xfId="0" applyNumberFormat="1" applyFont="1"/>
    <xf numFmtId="0" fontId="15" fillId="0" borderId="0" xfId="0" applyFont="1" applyAlignment="1">
      <alignment horizontal="left"/>
    </xf>
    <xf numFmtId="20" fontId="15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4" fillId="0" borderId="11" xfId="1" applyFont="1" applyBorder="1"/>
    <xf numFmtId="0" fontId="14" fillId="0" borderId="0" xfId="1" applyFont="1" applyBorder="1"/>
    <xf numFmtId="0" fontId="14" fillId="0" borderId="7" xfId="1" applyFont="1" applyBorder="1"/>
    <xf numFmtId="0" fontId="14" fillId="0" borderId="12" xfId="1" applyFont="1" applyBorder="1"/>
    <xf numFmtId="0" fontId="14" fillId="0" borderId="0" xfId="1" applyFont="1"/>
    <xf numFmtId="0" fontId="6" fillId="0" borderId="0" xfId="0" applyFont="1" applyFill="1" applyBorder="1"/>
    <xf numFmtId="20" fontId="6" fillId="0" borderId="0" xfId="0" applyNumberFormat="1" applyFont="1" applyFill="1" applyBorder="1"/>
    <xf numFmtId="0" fontId="52" fillId="0" borderId="18" xfId="0" applyFont="1" applyFill="1" applyBorder="1" applyAlignment="1">
      <alignment horizontal="center"/>
    </xf>
    <xf numFmtId="0" fontId="53" fillId="0" borderId="19" xfId="0" applyFont="1" applyFill="1" applyBorder="1"/>
    <xf numFmtId="0" fontId="53" fillId="0" borderId="20" xfId="0" applyFont="1" applyFill="1" applyBorder="1"/>
    <xf numFmtId="0" fontId="53" fillId="0" borderId="21" xfId="0" applyFont="1" applyFill="1" applyBorder="1" applyAlignment="1">
      <alignment horizontal="left"/>
    </xf>
    <xf numFmtId="0" fontId="26" fillId="3" borderId="0" xfId="0" applyFont="1" applyFill="1" applyBorder="1" applyAlignment="1">
      <alignment vertical="center"/>
    </xf>
    <xf numFmtId="0" fontId="49" fillId="0" borderId="0" xfId="1" quotePrefix="1" applyFont="1" applyFill="1" applyBorder="1" applyAlignment="1">
      <alignment horizontal="center" vertical="center"/>
    </xf>
    <xf numFmtId="0" fontId="51" fillId="0" borderId="0" xfId="1" quotePrefix="1" applyFont="1" applyFill="1" applyBorder="1" applyAlignment="1">
      <alignment horizontal="center" vertical="center"/>
    </xf>
    <xf numFmtId="0" fontId="48" fillId="0" borderId="0" xfId="1" applyFont="1" applyFill="1" applyBorder="1"/>
    <xf numFmtId="0" fontId="0" fillId="2" borderId="0" xfId="0" applyFill="1" applyBorder="1"/>
    <xf numFmtId="0" fontId="25" fillId="0" borderId="0" xfId="0" applyFont="1" applyFill="1" applyBorder="1" applyAlignment="1">
      <alignment horizontal="left"/>
    </xf>
    <xf numFmtId="0" fontId="4" fillId="0" borderId="0" xfId="0" applyFont="1"/>
    <xf numFmtId="0" fontId="55" fillId="0" borderId="0" xfId="0" applyFont="1"/>
    <xf numFmtId="0" fontId="11" fillId="0" borderId="0" xfId="0" applyFont="1" applyFill="1" applyBorder="1" applyAlignment="1">
      <alignment horizontal="center" vertical="center" textRotation="90"/>
    </xf>
    <xf numFmtId="0" fontId="53" fillId="0" borderId="0" xfId="0" applyFont="1" applyFill="1" applyBorder="1"/>
    <xf numFmtId="0" fontId="0" fillId="0" borderId="0" xfId="0" applyFill="1" applyBorder="1"/>
    <xf numFmtId="0" fontId="0" fillId="0" borderId="0" xfId="0" applyAlignment="1"/>
    <xf numFmtId="0" fontId="49" fillId="3" borderId="16" xfId="1" applyFont="1" applyFill="1" applyBorder="1" applyAlignment="1">
      <alignment horizontal="center" vertical="center"/>
    </xf>
    <xf numFmtId="0" fontId="14" fillId="0" borderId="0" xfId="1" applyFont="1" applyFill="1" applyBorder="1"/>
    <xf numFmtId="0" fontId="14" fillId="0" borderId="0" xfId="1" applyFont="1" applyFill="1" applyBorder="1" applyAlignment="1"/>
    <xf numFmtId="0" fontId="42" fillId="6" borderId="0" xfId="0" applyFont="1" applyFill="1" applyBorder="1" applyAlignment="1">
      <alignment horizontal="right" vertical="center"/>
    </xf>
    <xf numFmtId="0" fontId="33" fillId="6" borderId="0" xfId="0" applyFont="1" applyFill="1" applyBorder="1" applyAlignment="1">
      <alignment horizontal="right" vertical="center"/>
    </xf>
    <xf numFmtId="0" fontId="33" fillId="6" borderId="0" xfId="0" applyFont="1" applyFill="1" applyBorder="1" applyAlignment="1">
      <alignment vertical="center"/>
    </xf>
    <xf numFmtId="0" fontId="36" fillId="6" borderId="0" xfId="0" applyFont="1" applyFill="1" applyBorder="1" applyAlignment="1">
      <alignment horizontal="right" vertical="center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21" fontId="23" fillId="0" borderId="0" xfId="0" applyNumberFormat="1" applyFont="1" applyFill="1" applyAlignment="1">
      <alignment vertical="center"/>
    </xf>
    <xf numFmtId="0" fontId="44" fillId="6" borderId="0" xfId="0" applyFont="1" applyFill="1" applyBorder="1" applyAlignment="1">
      <alignment horizontal="right" vertical="center"/>
    </xf>
    <xf numFmtId="0" fontId="45" fillId="6" borderId="0" xfId="0" applyFont="1" applyFill="1" applyBorder="1" applyAlignment="1">
      <alignment horizontal="right" vertical="center"/>
    </xf>
    <xf numFmtId="0" fontId="45" fillId="6" borderId="0" xfId="0" applyFont="1" applyFill="1" applyBorder="1" applyAlignment="1">
      <alignment vertical="center"/>
    </xf>
    <xf numFmtId="0" fontId="37" fillId="6" borderId="0" xfId="0" applyFont="1" applyFill="1" applyBorder="1" applyAlignment="1">
      <alignment horizontal="right" vertical="center"/>
    </xf>
    <xf numFmtId="0" fontId="56" fillId="0" borderId="0" xfId="0" applyFont="1" applyAlignment="1">
      <alignment horizont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vertical="center"/>
    </xf>
    <xf numFmtId="0" fontId="47" fillId="0" borderId="9" xfId="1" applyFont="1" applyBorder="1"/>
    <xf numFmtId="0" fontId="15" fillId="0" borderId="0" xfId="0" applyNumberFormat="1" applyFont="1" applyAlignment="1">
      <alignment horizontal="left"/>
    </xf>
    <xf numFmtId="0" fontId="0" fillId="0" borderId="0" xfId="0" applyNumberFormat="1"/>
    <xf numFmtId="0" fontId="55" fillId="0" borderId="0" xfId="0" applyNumberFormat="1" applyFont="1"/>
    <xf numFmtId="0" fontId="58" fillId="0" borderId="0" xfId="0" applyFont="1"/>
    <xf numFmtId="20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0" fillId="8" borderId="0" xfId="0" applyFill="1"/>
    <xf numFmtId="0" fontId="59" fillId="8" borderId="0" xfId="0" applyFont="1" applyFill="1"/>
    <xf numFmtId="0" fontId="8" fillId="3" borderId="0" xfId="0" applyFont="1" applyFill="1" applyAlignment="1">
      <alignment horizontal="center"/>
    </xf>
    <xf numFmtId="0" fontId="52" fillId="0" borderId="0" xfId="0" applyFont="1" applyFill="1" applyBorder="1" applyAlignment="1">
      <alignment horizontal="right"/>
    </xf>
    <xf numFmtId="0" fontId="5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0" fontId="31" fillId="0" borderId="0" xfId="0" applyFont="1" applyBorder="1" applyAlignment="1">
      <alignment horizontal="right"/>
    </xf>
    <xf numFmtId="0" fontId="31" fillId="0" borderId="0" xfId="0" applyFont="1" applyBorder="1" applyAlignment="1">
      <alignment horizontal="left"/>
    </xf>
    <xf numFmtId="20" fontId="8" fillId="3" borderId="0" xfId="0" applyNumberFormat="1" applyFont="1" applyFill="1" applyAlignment="1">
      <alignment horizontal="left" vertical="center"/>
    </xf>
    <xf numFmtId="0" fontId="8" fillId="3" borderId="0" xfId="0" applyFont="1" applyFill="1" applyAlignment="1">
      <alignment horizontal="right" vertical="center"/>
    </xf>
    <xf numFmtId="0" fontId="65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center"/>
    </xf>
    <xf numFmtId="0" fontId="67" fillId="0" borderId="0" xfId="0" applyFont="1" applyFill="1" applyBorder="1" applyAlignment="1">
      <alignment horizontal="center" vertical="center"/>
    </xf>
    <xf numFmtId="0" fontId="68" fillId="0" borderId="0" xfId="0" applyFont="1" applyAlignment="1">
      <alignment horizontal="center"/>
    </xf>
    <xf numFmtId="0" fontId="53" fillId="0" borderId="0" xfId="0" applyFont="1" applyFill="1" applyAlignment="1">
      <alignment horizontal="right"/>
    </xf>
    <xf numFmtId="0" fontId="53" fillId="0" borderId="0" xfId="0" applyFont="1" applyFill="1" applyAlignment="1">
      <alignment horizontal="center"/>
    </xf>
    <xf numFmtId="0" fontId="53" fillId="0" borderId="0" xfId="0" applyFont="1" applyFill="1" applyAlignment="1">
      <alignment horizontal="left"/>
    </xf>
    <xf numFmtId="0" fontId="68" fillId="0" borderId="0" xfId="0" applyFont="1"/>
    <xf numFmtId="0" fontId="20" fillId="6" borderId="0" xfId="0" applyFont="1" applyFill="1" applyBorder="1" applyAlignment="1">
      <alignment horizontal="right"/>
    </xf>
    <xf numFmtId="0" fontId="20" fillId="6" borderId="0" xfId="0" applyFont="1" applyFill="1" applyBorder="1"/>
    <xf numFmtId="0" fontId="0" fillId="0" borderId="0" xfId="0" applyBorder="1" applyAlignment="1">
      <alignment horizontal="left"/>
    </xf>
    <xf numFmtId="0" fontId="0" fillId="0" borderId="12" xfId="0" applyBorder="1"/>
    <xf numFmtId="0" fontId="0" fillId="0" borderId="15" xfId="0" applyBorder="1"/>
    <xf numFmtId="0" fontId="24" fillId="0" borderId="0" xfId="0" applyFont="1" applyFill="1" applyBorder="1" applyAlignment="1">
      <alignment vertical="center"/>
    </xf>
    <xf numFmtId="0" fontId="70" fillId="0" borderId="0" xfId="0" applyFont="1" applyFill="1" applyBorder="1" applyAlignment="1">
      <alignment horizontal="center" vertical="center" textRotation="180"/>
    </xf>
    <xf numFmtId="0" fontId="0" fillId="0" borderId="0" xfId="0" applyFill="1" applyBorder="1" applyAlignment="1"/>
    <xf numFmtId="0" fontId="68" fillId="0" borderId="0" xfId="0" applyFont="1" applyAlignment="1">
      <alignment horizontal="left"/>
    </xf>
    <xf numFmtId="0" fontId="66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3" fillId="0" borderId="0" xfId="0" applyFont="1" applyFill="1" applyAlignment="1">
      <alignment horizontal="left" vertical="center"/>
    </xf>
    <xf numFmtId="0" fontId="74" fillId="0" borderId="0" xfId="0" applyFont="1"/>
    <xf numFmtId="0" fontId="74" fillId="0" borderId="0" xfId="0" applyFont="1" applyAlignment="1">
      <alignment horizontal="left"/>
    </xf>
    <xf numFmtId="0" fontId="74" fillId="0" borderId="0" xfId="0" applyFont="1" applyAlignment="1"/>
    <xf numFmtId="0" fontId="74" fillId="0" borderId="0" xfId="0" applyFont="1" applyAlignment="1">
      <alignment horizontal="right"/>
    </xf>
    <xf numFmtId="0" fontId="74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68" fillId="0" borderId="0" xfId="0" quotePrefix="1" applyFont="1"/>
    <xf numFmtId="0" fontId="65" fillId="10" borderId="0" xfId="0" applyFont="1" applyFill="1" applyBorder="1" applyAlignment="1">
      <alignment horizontal="left" vertical="center"/>
    </xf>
    <xf numFmtId="0" fontId="67" fillId="10" borderId="0" xfId="0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horizontal="center" vertical="center" textRotation="90"/>
    </xf>
    <xf numFmtId="0" fontId="0" fillId="10" borderId="0" xfId="0" applyFill="1" applyBorder="1"/>
    <xf numFmtId="0" fontId="0" fillId="10" borderId="0" xfId="0" applyFill="1"/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/>
    <xf numFmtId="20" fontId="8" fillId="3" borderId="0" xfId="0" applyNumberFormat="1" applyFont="1" applyFill="1" applyBorder="1" applyAlignment="1">
      <alignment horizontal="left" vertical="center"/>
    </xf>
    <xf numFmtId="0" fontId="59" fillId="8" borderId="0" xfId="0" applyFont="1" applyFill="1" applyBorder="1"/>
    <xf numFmtId="0" fontId="8" fillId="3" borderId="0" xfId="0" applyFont="1" applyFill="1" applyBorder="1" applyAlignment="1">
      <alignment vertical="center"/>
    </xf>
    <xf numFmtId="20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right" vertical="center"/>
    </xf>
    <xf numFmtId="0" fontId="68" fillId="0" borderId="0" xfId="0" applyFont="1" applyBorder="1" applyAlignment="1">
      <alignment horizontal="center"/>
    </xf>
    <xf numFmtId="0" fontId="68" fillId="0" borderId="0" xfId="0" applyFont="1" applyFill="1" applyBorder="1" applyAlignment="1">
      <alignment horizontal="center"/>
    </xf>
    <xf numFmtId="0" fontId="68" fillId="0" borderId="0" xfId="0" applyFont="1" applyBorder="1" applyAlignment="1">
      <alignment horizontal="left"/>
    </xf>
    <xf numFmtId="0" fontId="68" fillId="0" borderId="0" xfId="0" applyFont="1" applyBorder="1"/>
    <xf numFmtId="0" fontId="56" fillId="0" borderId="0" xfId="0" applyFont="1" applyBorder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0" fillId="0" borderId="31" xfId="0" applyBorder="1"/>
    <xf numFmtId="0" fontId="7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8" borderId="0" xfId="0" applyFill="1" applyBorder="1"/>
    <xf numFmtId="0" fontId="68" fillId="0" borderId="0" xfId="0" applyFont="1" applyBorder="1" applyAlignment="1">
      <alignment horizontal="left" vertical="center"/>
    </xf>
    <xf numFmtId="0" fontId="74" fillId="0" borderId="0" xfId="0" applyFont="1" applyBorder="1" applyAlignment="1">
      <alignment horizontal="left"/>
    </xf>
    <xf numFmtId="0" fontId="74" fillId="0" borderId="0" xfId="0" applyFont="1" applyBorder="1"/>
    <xf numFmtId="0" fontId="74" fillId="0" borderId="0" xfId="0" applyFont="1" applyBorder="1" applyAlignment="1">
      <alignment horizontal="center"/>
    </xf>
    <xf numFmtId="0" fontId="74" fillId="0" borderId="0" xfId="0" applyFont="1" applyBorder="1" applyAlignment="1"/>
    <xf numFmtId="0" fontId="74" fillId="0" borderId="0" xfId="0" applyFont="1" applyBorder="1" applyAlignment="1">
      <alignment horizontal="right"/>
    </xf>
    <xf numFmtId="0" fontId="55" fillId="0" borderId="0" xfId="0" applyFont="1" applyBorder="1"/>
    <xf numFmtId="0" fontId="59" fillId="0" borderId="0" xfId="0" applyFont="1" applyFill="1" applyBorder="1" applyAlignment="1">
      <alignment horizontal="center"/>
    </xf>
    <xf numFmtId="0" fontId="59" fillId="0" borderId="0" xfId="0" applyFont="1" applyFill="1" applyBorder="1" applyAlignment="1">
      <alignment horizontal="center" vertical="center" textRotation="180"/>
    </xf>
    <xf numFmtId="0" fontId="45" fillId="6" borderId="16" xfId="0" applyFont="1" applyFill="1" applyBorder="1"/>
    <xf numFmtId="0" fontId="45" fillId="6" borderId="16" xfId="0" applyFont="1" applyFill="1" applyBorder="1" applyAlignment="1">
      <alignment vertical="center"/>
    </xf>
    <xf numFmtId="0" fontId="33" fillId="6" borderId="16" xfId="0" applyFont="1" applyFill="1" applyBorder="1"/>
    <xf numFmtId="0" fontId="33" fillId="6" borderId="16" xfId="0" applyFont="1" applyFill="1" applyBorder="1" applyAlignment="1">
      <alignment vertical="center"/>
    </xf>
    <xf numFmtId="0" fontId="31" fillId="6" borderId="16" xfId="0" applyFont="1" applyFill="1" applyBorder="1"/>
    <xf numFmtId="0" fontId="21" fillId="6" borderId="0" xfId="0" applyFont="1" applyFill="1" applyBorder="1" applyAlignment="1">
      <alignment horizontal="right" wrapText="1"/>
    </xf>
    <xf numFmtId="21" fontId="20" fillId="6" borderId="0" xfId="0" applyNumberFormat="1" applyFont="1" applyFill="1" applyBorder="1"/>
    <xf numFmtId="0" fontId="31" fillId="6" borderId="0" xfId="0" applyFont="1" applyFill="1" applyBorder="1"/>
    <xf numFmtId="0" fontId="31" fillId="6" borderId="0" xfId="0" applyFont="1" applyFill="1" applyBorder="1" applyAlignment="1">
      <alignment horizontal="right"/>
    </xf>
    <xf numFmtId="0" fontId="8" fillId="2" borderId="0" xfId="0" applyFont="1" applyFill="1" applyBorder="1" applyAlignment="1"/>
    <xf numFmtId="0" fontId="19" fillId="0" borderId="0" xfId="0" applyFont="1" applyBorder="1" applyAlignment="1">
      <alignment horizontal="center"/>
    </xf>
    <xf numFmtId="0" fontId="11" fillId="3" borderId="0" xfId="0" applyFont="1" applyFill="1" applyBorder="1" applyAlignment="1">
      <alignment horizontal="center" vertical="center" textRotation="90"/>
    </xf>
    <xf numFmtId="0" fontId="68" fillId="0" borderId="0" xfId="0" quotePrefix="1" applyFont="1" applyBorder="1"/>
    <xf numFmtId="0" fontId="25" fillId="0" borderId="5" xfId="0" applyFont="1" applyFill="1" applyBorder="1" applyAlignment="1">
      <alignment horizontal="center"/>
    </xf>
    <xf numFmtId="0" fontId="26" fillId="3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52" fillId="0" borderId="4" xfId="0" applyFont="1" applyFill="1" applyBorder="1" applyAlignment="1">
      <alignment horizontal="right"/>
    </xf>
    <xf numFmtId="0" fontId="52" fillId="0" borderId="4" xfId="0" applyFont="1" applyFill="1" applyBorder="1" applyAlignment="1">
      <alignment horizontal="left"/>
    </xf>
    <xf numFmtId="0" fontId="0" fillId="10" borderId="31" xfId="0" applyFill="1" applyBorder="1"/>
    <xf numFmtId="0" fontId="0" fillId="10" borderId="0" xfId="0" applyFill="1" applyBorder="1" applyAlignment="1"/>
    <xf numFmtId="0" fontId="4" fillId="10" borderId="0" xfId="0" applyFont="1" applyFill="1" applyBorder="1" applyAlignment="1">
      <alignment horizontal="center"/>
    </xf>
    <xf numFmtId="0" fontId="6" fillId="10" borderId="0" xfId="0" applyFont="1" applyFill="1" applyBorder="1"/>
    <xf numFmtId="0" fontId="29" fillId="10" borderId="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left"/>
    </xf>
    <xf numFmtId="20" fontId="68" fillId="0" borderId="0" xfId="0" applyNumberFormat="1" applyFont="1" applyBorder="1" applyAlignment="1">
      <alignment horizontal="left"/>
    </xf>
    <xf numFmtId="20" fontId="68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71" fillId="3" borderId="7" xfId="0" applyFont="1" applyFill="1" applyBorder="1" applyAlignment="1">
      <alignment horizontal="center" vertical="top" textRotation="90"/>
    </xf>
    <xf numFmtId="0" fontId="24" fillId="10" borderId="0" xfId="0" applyFont="1" applyFill="1"/>
    <xf numFmtId="0" fontId="61" fillId="10" borderId="0" xfId="0" applyFont="1" applyFill="1" applyBorder="1"/>
    <xf numFmtId="0" fontId="24" fillId="10" borderId="0" xfId="0" applyFont="1" applyFill="1" applyBorder="1"/>
    <xf numFmtId="0" fontId="28" fillId="10" borderId="0" xfId="0" applyFont="1" applyFill="1" applyBorder="1"/>
    <xf numFmtId="0" fontId="28" fillId="10" borderId="0" xfId="0" applyFont="1" applyFill="1" applyBorder="1" applyAlignment="1">
      <alignment horizontal="right"/>
    </xf>
    <xf numFmtId="0" fontId="28" fillId="10" borderId="0" xfId="0" applyFont="1" applyFill="1" applyBorder="1" applyAlignment="1">
      <alignment horizontal="left"/>
    </xf>
    <xf numFmtId="0" fontId="25" fillId="10" borderId="0" xfId="0" applyFont="1" applyFill="1" applyBorder="1" applyAlignment="1">
      <alignment horizontal="right"/>
    </xf>
    <xf numFmtId="0" fontId="26" fillId="10" borderId="0" xfId="0" applyFont="1" applyFill="1" applyBorder="1" applyAlignment="1">
      <alignment vertical="center"/>
    </xf>
    <xf numFmtId="0" fontId="25" fillId="10" borderId="0" xfId="0" applyFont="1" applyFill="1" applyBorder="1" applyAlignment="1">
      <alignment horizontal="left"/>
    </xf>
    <xf numFmtId="0" fontId="24" fillId="10" borderId="0" xfId="0" applyFont="1" applyFill="1" applyBorder="1" applyAlignment="1">
      <alignment horizontal="right"/>
    </xf>
    <xf numFmtId="0" fontId="61" fillId="10" borderId="0" xfId="0" applyFont="1" applyFill="1" applyBorder="1" applyAlignment="1">
      <alignment horizontal="center"/>
    </xf>
    <xf numFmtId="0" fontId="24" fillId="10" borderId="0" xfId="0" applyFont="1" applyFill="1" applyAlignment="1">
      <alignment horizontal="center"/>
    </xf>
    <xf numFmtId="0" fontId="24" fillId="0" borderId="4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0" fontId="9" fillId="10" borderId="0" xfId="0" applyFont="1" applyFill="1" applyBorder="1" applyAlignment="1">
      <alignment horizontal="center" vertical="center" textRotation="90"/>
    </xf>
    <xf numFmtId="0" fontId="8" fillId="10" borderId="0" xfId="0" applyFont="1" applyFill="1" applyBorder="1" applyAlignment="1">
      <alignment horizontal="center" vertical="center"/>
    </xf>
    <xf numFmtId="0" fontId="0" fillId="10" borderId="0" xfId="0" applyFill="1" applyAlignment="1">
      <alignment horizontal="left" vertical="center"/>
    </xf>
    <xf numFmtId="0" fontId="8" fillId="10" borderId="0" xfId="0" applyFont="1" applyFill="1" applyAlignment="1">
      <alignment horizontal="center" vertical="center"/>
    </xf>
    <xf numFmtId="0" fontId="6" fillId="10" borderId="0" xfId="0" applyFont="1" applyFill="1"/>
    <xf numFmtId="0" fontId="13" fillId="10" borderId="0" xfId="0" applyFont="1" applyFill="1" applyAlignment="1">
      <alignment horizontal="left"/>
    </xf>
    <xf numFmtId="0" fontId="6" fillId="1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center"/>
    </xf>
    <xf numFmtId="0" fontId="52" fillId="0" borderId="0" xfId="0" applyFont="1" applyFill="1" applyAlignment="1">
      <alignment horizontal="right"/>
    </xf>
    <xf numFmtId="0" fontId="76" fillId="0" borderId="0" xfId="0" applyFont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/>
    <xf numFmtId="0" fontId="0" fillId="0" borderId="2" xfId="0" applyBorder="1"/>
    <xf numFmtId="0" fontId="78" fillId="0" borderId="0" xfId="0" applyFont="1" applyFill="1" applyBorder="1"/>
    <xf numFmtId="0" fontId="78" fillId="0" borderId="0" xfId="0" applyFont="1" applyFill="1" applyBorder="1" applyAlignment="1">
      <alignment horizontal="center"/>
    </xf>
    <xf numFmtId="0" fontId="61" fillId="0" borderId="0" xfId="0" applyFont="1" applyFill="1" applyBorder="1"/>
    <xf numFmtId="0" fontId="61" fillId="0" borderId="0" xfId="0" applyFont="1" applyFill="1" applyBorder="1" applyAlignment="1">
      <alignment horizontal="center"/>
    </xf>
    <xf numFmtId="0" fontId="77" fillId="0" borderId="0" xfId="0" applyFont="1" applyFill="1" applyBorder="1" applyAlignment="1">
      <alignment horizontal="right"/>
    </xf>
    <xf numFmtId="0" fontId="77" fillId="0" borderId="0" xfId="0" applyFont="1" applyFill="1" applyBorder="1" applyAlignment="1">
      <alignment horizontal="left"/>
    </xf>
    <xf numFmtId="0" fontId="79" fillId="0" borderId="0" xfId="0" applyFont="1" applyFill="1" applyBorder="1" applyAlignment="1">
      <alignment horizontal="right"/>
    </xf>
    <xf numFmtId="0" fontId="79" fillId="0" borderId="0" xfId="0" applyFont="1" applyFill="1" applyBorder="1" applyAlignment="1">
      <alignment horizontal="left"/>
    </xf>
    <xf numFmtId="0" fontId="63" fillId="0" borderId="0" xfId="0" applyFont="1" applyFill="1" applyBorder="1" applyAlignment="1">
      <alignment vertical="center"/>
    </xf>
    <xf numFmtId="0" fontId="0" fillId="0" borderId="0" xfId="0" applyAlignment="1">
      <alignment horizontal="right"/>
    </xf>
    <xf numFmtId="0" fontId="68" fillId="0" borderId="0" xfId="0" applyFont="1" applyFill="1" applyBorder="1" applyAlignment="1">
      <alignment horizontal="left"/>
    </xf>
    <xf numFmtId="0" fontId="68" fillId="0" borderId="0" xfId="0" applyFont="1" applyFill="1" applyBorder="1"/>
    <xf numFmtId="0" fontId="68" fillId="0" borderId="0" xfId="0" applyFont="1" applyFill="1" applyBorder="1" applyAlignment="1">
      <alignment horizontal="right"/>
    </xf>
    <xf numFmtId="0" fontId="53" fillId="0" borderId="0" xfId="0" applyFont="1" applyFill="1" applyBorder="1" applyAlignment="1">
      <alignment horizontal="left"/>
    </xf>
    <xf numFmtId="0" fontId="68" fillId="0" borderId="0" xfId="0" applyFont="1" applyFill="1" applyBorder="1" applyAlignment="1"/>
    <xf numFmtId="0" fontId="0" fillId="0" borderId="0" xfId="0" applyFill="1"/>
    <xf numFmtId="0" fontId="53" fillId="0" borderId="0" xfId="0" applyFont="1" applyFill="1" applyBorder="1" applyAlignment="1"/>
    <xf numFmtId="0" fontId="52" fillId="0" borderId="5" xfId="0" applyFont="1" applyFill="1" applyBorder="1" applyAlignment="1">
      <alignment horizontal="center"/>
    </xf>
    <xf numFmtId="0" fontId="70" fillId="8" borderId="22" xfId="0" applyFont="1" applyFill="1" applyBorder="1" applyAlignment="1">
      <alignment horizontal="center"/>
    </xf>
    <xf numFmtId="0" fontId="70" fillId="8" borderId="33" xfId="0" applyFont="1" applyFill="1" applyBorder="1" applyAlignment="1">
      <alignment horizontal="center"/>
    </xf>
    <xf numFmtId="0" fontId="70" fillId="8" borderId="16" xfId="0" applyFont="1" applyFill="1" applyBorder="1" applyAlignment="1">
      <alignment horizontal="center"/>
    </xf>
    <xf numFmtId="0" fontId="80" fillId="7" borderId="0" xfId="0" applyFont="1" applyFill="1" applyAlignment="1">
      <alignment horizontal="center"/>
    </xf>
    <xf numFmtId="0" fontId="6" fillId="0" borderId="29" xfId="0" applyFont="1" applyBorder="1" applyAlignment="1">
      <alignment horizontal="left"/>
    </xf>
    <xf numFmtId="0" fontId="15" fillId="0" borderId="0" xfId="0" applyFont="1" applyBorder="1"/>
    <xf numFmtId="0" fontId="8" fillId="3" borderId="23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0" fontId="8" fillId="3" borderId="0" xfId="0" applyFont="1" applyFill="1" applyAlignment="1">
      <alignment horizontal="left"/>
    </xf>
    <xf numFmtId="0" fontId="53" fillId="0" borderId="0" xfId="0" applyFont="1" applyFill="1" applyBorder="1" applyAlignment="1">
      <alignment horizontal="center"/>
    </xf>
    <xf numFmtId="0" fontId="81" fillId="0" borderId="0" xfId="0" applyFont="1" applyAlignment="1">
      <alignment horizontal="right"/>
    </xf>
    <xf numFmtId="0" fontId="81" fillId="0" borderId="0" xfId="0" applyFont="1" applyAlignment="1">
      <alignment horizontal="center"/>
    </xf>
    <xf numFmtId="0" fontId="81" fillId="0" borderId="0" xfId="0" applyFont="1" applyAlignment="1">
      <alignment horizontal="left"/>
    </xf>
    <xf numFmtId="0" fontId="66" fillId="1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Border="1" applyAlignment="1"/>
    <xf numFmtId="0" fontId="6" fillId="0" borderId="1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8" fillId="3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 textRotation="180"/>
    </xf>
    <xf numFmtId="0" fontId="75" fillId="8" borderId="0" xfId="0" applyFont="1" applyFill="1" applyBorder="1" applyAlignment="1">
      <alignment horizontal="center" vertical="top" textRotation="90"/>
    </xf>
    <xf numFmtId="0" fontId="8" fillId="3" borderId="0" xfId="0" applyFont="1" applyFill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6" fillId="3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center"/>
    </xf>
    <xf numFmtId="0" fontId="26" fillId="3" borderId="0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70" fillId="8" borderId="17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69" fillId="0" borderId="0" xfId="0" applyFont="1" applyFill="1" applyAlignment="1">
      <alignment horizontal="center"/>
    </xf>
    <xf numFmtId="0" fontId="24" fillId="10" borderId="0" xfId="0" applyFont="1" applyFill="1" applyBorder="1" applyAlignment="1">
      <alignment horizontal="left"/>
    </xf>
    <xf numFmtId="0" fontId="63" fillId="0" borderId="0" xfId="0" applyFont="1" applyFill="1" applyBorder="1" applyAlignment="1">
      <alignment horizontal="center"/>
    </xf>
    <xf numFmtId="0" fontId="28" fillId="10" borderId="0" xfId="0" applyFont="1" applyFill="1" applyBorder="1" applyAlignment="1">
      <alignment horizontal="center"/>
    </xf>
    <xf numFmtId="0" fontId="25" fillId="10" borderId="0" xfId="0" applyFont="1" applyFill="1" applyBorder="1" applyAlignment="1">
      <alignment horizontal="center"/>
    </xf>
    <xf numFmtId="0" fontId="24" fillId="10" borderId="0" xfId="0" applyFont="1" applyFill="1" applyBorder="1" applyAlignment="1">
      <alignment horizontal="center"/>
    </xf>
    <xf numFmtId="0" fontId="26" fillId="10" borderId="0" xfId="0" applyFont="1" applyFill="1" applyBorder="1" applyAlignment="1">
      <alignment horizontal="left" vertical="center"/>
    </xf>
    <xf numFmtId="0" fontId="61" fillId="0" borderId="0" xfId="0" applyFont="1" applyFill="1" applyBorder="1" applyAlignment="1">
      <alignment horizontal="left"/>
    </xf>
    <xf numFmtId="0" fontId="63" fillId="0" borderId="0" xfId="0" applyFont="1" applyFill="1" applyBorder="1" applyAlignment="1">
      <alignment horizontal="left" vertical="center"/>
    </xf>
    <xf numFmtId="0" fontId="79" fillId="0" borderId="0" xfId="0" applyFont="1" applyFill="1" applyBorder="1" applyAlignment="1">
      <alignment horizontal="center"/>
    </xf>
    <xf numFmtId="0" fontId="63" fillId="0" borderId="0" xfId="0" applyFont="1" applyFill="1" applyBorder="1" applyAlignment="1">
      <alignment horizontal="center" vertical="center"/>
    </xf>
    <xf numFmtId="0" fontId="14" fillId="0" borderId="22" xfId="1" applyFont="1" applyBorder="1" applyAlignment="1"/>
    <xf numFmtId="0" fontId="14" fillId="0" borderId="17" xfId="1" applyFont="1" applyBorder="1" applyAlignment="1"/>
    <xf numFmtId="0" fontId="14" fillId="0" borderId="16" xfId="1" applyFont="1" applyBorder="1" applyAlignment="1"/>
    <xf numFmtId="0" fontId="49" fillId="0" borderId="0" xfId="1" quotePrefix="1" applyFont="1" applyFill="1" applyBorder="1" applyAlignment="1">
      <alignment horizontal="left" vertical="center"/>
    </xf>
    <xf numFmtId="0" fontId="66" fillId="1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Border="1" applyAlignment="1">
      <alignment horizontal="left"/>
    </xf>
    <xf numFmtId="0" fontId="7" fillId="2" borderId="0" xfId="0" applyFont="1" applyFill="1" applyBorder="1" applyAlignment="1">
      <alignment horizontal="center" vertical="center" textRotation="180"/>
    </xf>
    <xf numFmtId="0" fontId="59" fillId="0" borderId="0" xfId="0" applyFont="1" applyFill="1" applyBorder="1" applyAlignment="1">
      <alignment vertical="center" textRotation="180"/>
    </xf>
    <xf numFmtId="0" fontId="10" fillId="12" borderId="28" xfId="0" applyFont="1" applyFill="1" applyBorder="1" applyAlignment="1">
      <alignment horizontal="right" vertical="center"/>
    </xf>
    <xf numFmtId="20" fontId="10" fillId="12" borderId="26" xfId="0" applyNumberFormat="1" applyFont="1" applyFill="1" applyBorder="1" applyAlignment="1">
      <alignment horizontal="left" vertical="center"/>
    </xf>
    <xf numFmtId="20" fontId="10" fillId="12" borderId="27" xfId="0" applyNumberFormat="1" applyFont="1" applyFill="1" applyBorder="1" applyAlignment="1">
      <alignment horizontal="center" vertical="center"/>
    </xf>
    <xf numFmtId="20" fontId="8" fillId="0" borderId="0" xfId="0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/>
    <xf numFmtId="0" fontId="18" fillId="3" borderId="20" xfId="0" applyFont="1" applyFill="1" applyBorder="1" applyAlignment="1">
      <alignment horizontal="center" textRotation="45"/>
    </xf>
    <xf numFmtId="0" fontId="69" fillId="10" borderId="0" xfId="0" applyFont="1" applyFill="1" applyAlignment="1"/>
    <xf numFmtId="20" fontId="10" fillId="12" borderId="27" xfId="0" applyNumberFormat="1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2" borderId="0" xfId="0" applyFont="1" applyFill="1" applyBorder="1" applyAlignment="1">
      <alignment horizontal="center" vertical="center" textRotation="180"/>
    </xf>
    <xf numFmtId="0" fontId="6" fillId="0" borderId="8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10" borderId="0" xfId="0" applyFont="1" applyFill="1" applyAlignment="1">
      <alignment horizontal="left"/>
    </xf>
    <xf numFmtId="0" fontId="6" fillId="10" borderId="0" xfId="0" applyFont="1" applyFill="1" applyAlignment="1"/>
    <xf numFmtId="0" fontId="53" fillId="10" borderId="0" xfId="0" applyFont="1" applyFill="1" applyAlignment="1">
      <alignment horizontal="right"/>
    </xf>
    <xf numFmtId="0" fontId="53" fillId="10" borderId="0" xfId="0" applyFont="1" applyFill="1" applyAlignment="1">
      <alignment horizontal="center"/>
    </xf>
    <xf numFmtId="0" fontId="53" fillId="10" borderId="0" xfId="0" applyFont="1" applyFill="1" applyAlignment="1">
      <alignment horizontal="left"/>
    </xf>
    <xf numFmtId="0" fontId="0" fillId="10" borderId="0" xfId="0" applyFill="1" applyAlignment="1"/>
    <xf numFmtId="0" fontId="84" fillId="10" borderId="0" xfId="0" applyFont="1" applyFill="1" applyBorder="1"/>
    <xf numFmtId="0" fontId="83" fillId="1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center" vertical="center" textRotation="90"/>
    </xf>
    <xf numFmtId="0" fontId="59" fillId="0" borderId="0" xfId="0" applyFont="1" applyFill="1" applyBorder="1" applyAlignment="1">
      <alignment horizontal="center" vertical="center" textRotation="90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6" fillId="10" borderId="0" xfId="0" applyFont="1" applyFill="1" applyBorder="1" applyAlignment="1">
      <alignment horizontal="left"/>
    </xf>
    <xf numFmtId="0" fontId="0" fillId="0" borderId="0" xfId="0" applyBorder="1" applyAlignment="1"/>
    <xf numFmtId="0" fontId="6" fillId="10" borderId="13" xfId="0" applyFont="1" applyFill="1" applyBorder="1" applyAlignment="1">
      <alignment horizontal="left"/>
    </xf>
    <xf numFmtId="0" fontId="0" fillId="0" borderId="13" xfId="0" applyBorder="1" applyAlignment="1"/>
    <xf numFmtId="0" fontId="6" fillId="10" borderId="9" xfId="0" applyFont="1" applyFill="1" applyBorder="1" applyAlignment="1">
      <alignment horizontal="left"/>
    </xf>
    <xf numFmtId="0" fontId="0" fillId="0" borderId="9" xfId="0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horizontal="left"/>
    </xf>
    <xf numFmtId="0" fontId="29" fillId="3" borderId="0" xfId="0" applyFont="1" applyFill="1" applyBorder="1" applyAlignment="1">
      <alignment horizontal="center"/>
    </xf>
    <xf numFmtId="0" fontId="29" fillId="3" borderId="22" xfId="0" applyFont="1" applyFill="1" applyBorder="1" applyAlignment="1">
      <alignment horizontal="center"/>
    </xf>
    <xf numFmtId="0" fontId="29" fillId="3" borderId="16" xfId="0" applyFont="1" applyFill="1" applyBorder="1" applyAlignment="1">
      <alignment horizontal="center"/>
    </xf>
    <xf numFmtId="0" fontId="29" fillId="3" borderId="17" xfId="0" applyFont="1" applyFill="1" applyBorder="1" applyAlignment="1">
      <alignment horizontal="center"/>
    </xf>
    <xf numFmtId="0" fontId="74" fillId="0" borderId="0" xfId="0" applyFont="1" applyAlignment="1">
      <alignment horizontal="left" vertical="center"/>
    </xf>
    <xf numFmtId="0" fontId="6" fillId="10" borderId="0" xfId="0" applyFont="1" applyFill="1" applyBorder="1" applyAlignment="1">
      <alignment horizontal="left"/>
    </xf>
    <xf numFmtId="0" fontId="6" fillId="10" borderId="13" xfId="0" applyFont="1" applyFill="1" applyBorder="1" applyAlignment="1">
      <alignment horizontal="left"/>
    </xf>
    <xf numFmtId="0" fontId="6" fillId="0" borderId="0" xfId="0" applyFont="1" applyBorder="1" applyAlignment="1"/>
    <xf numFmtId="0" fontId="6" fillId="0" borderId="0" xfId="0" applyFont="1" applyBorder="1" applyAlignment="1">
      <alignment horizontal="left"/>
    </xf>
    <xf numFmtId="0" fontId="29" fillId="3" borderId="11" xfId="0" applyFont="1" applyFill="1" applyBorder="1" applyAlignment="1">
      <alignment horizontal="center"/>
    </xf>
    <xf numFmtId="0" fontId="0" fillId="2" borderId="10" xfId="0" applyFill="1" applyBorder="1"/>
    <xf numFmtId="0" fontId="6" fillId="10" borderId="8" xfId="0" applyFont="1" applyFill="1" applyBorder="1" applyAlignment="1">
      <alignment horizontal="left" vertical="center"/>
    </xf>
    <xf numFmtId="0" fontId="6" fillId="10" borderId="11" xfId="0" applyFont="1" applyFill="1" applyBorder="1" applyAlignment="1">
      <alignment horizontal="left" vertical="center"/>
    </xf>
    <xf numFmtId="0" fontId="6" fillId="10" borderId="14" xfId="0" applyFont="1" applyFill="1" applyBorder="1" applyAlignment="1">
      <alignment horizontal="left" vertical="center"/>
    </xf>
    <xf numFmtId="0" fontId="76" fillId="10" borderId="14" xfId="0" applyFont="1" applyFill="1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53" fillId="0" borderId="0" xfId="0" applyFont="1" applyFill="1" applyAlignment="1">
      <alignment horizontal="right" wrapText="1"/>
    </xf>
    <xf numFmtId="0" fontId="6" fillId="10" borderId="0" xfId="0" applyFont="1" applyFill="1" applyBorder="1" applyAlignment="1">
      <alignment horizontal="center"/>
    </xf>
    <xf numFmtId="0" fontId="6" fillId="10" borderId="0" xfId="0" applyFont="1" applyFill="1" applyBorder="1" applyAlignment="1"/>
    <xf numFmtId="0" fontId="53" fillId="10" borderId="0" xfId="0" applyFont="1" applyFill="1" applyBorder="1" applyAlignment="1">
      <alignment horizontal="right"/>
    </xf>
    <xf numFmtId="0" fontId="53" fillId="10" borderId="0" xfId="0" applyFont="1" applyFill="1" applyBorder="1" applyAlignment="1">
      <alignment horizontal="center"/>
    </xf>
    <xf numFmtId="0" fontId="53" fillId="10" borderId="0" xfId="0" applyFont="1" applyFill="1" applyBorder="1" applyAlignment="1">
      <alignment horizontal="left"/>
    </xf>
    <xf numFmtId="20" fontId="10" fillId="10" borderId="0" xfId="0" applyNumberFormat="1" applyFont="1" applyFill="1" applyBorder="1" applyAlignment="1">
      <alignment horizontal="left" vertical="center"/>
    </xf>
    <xf numFmtId="20" fontId="10" fillId="10" borderId="0" xfId="0" applyNumberFormat="1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right" vertical="center"/>
    </xf>
    <xf numFmtId="0" fontId="86" fillId="10" borderId="0" xfId="0" applyFont="1" applyFill="1"/>
    <xf numFmtId="0" fontId="0" fillId="10" borderId="0" xfId="0" applyFill="1" applyAlignment="1">
      <alignment horizontal="left" wrapText="1"/>
    </xf>
    <xf numFmtId="0" fontId="49" fillId="0" borderId="0" xfId="1" quotePrefix="1" applyFont="1" applyFill="1" applyBorder="1" applyAlignment="1">
      <alignment horizontal="left" vertical="center"/>
    </xf>
    <xf numFmtId="0" fontId="14" fillId="0" borderId="22" xfId="1" applyFont="1" applyBorder="1" applyAlignment="1"/>
    <xf numFmtId="0" fontId="14" fillId="0" borderId="17" xfId="1" applyFont="1" applyBorder="1" applyAlignment="1"/>
    <xf numFmtId="0" fontId="14" fillId="0" borderId="16" xfId="1" applyFont="1" applyBorder="1" applyAlignment="1"/>
    <xf numFmtId="0" fontId="0" fillId="8" borderId="34" xfId="0" applyFill="1" applyBorder="1"/>
    <xf numFmtId="0" fontId="0" fillId="0" borderId="34" xfId="0" applyBorder="1"/>
    <xf numFmtId="0" fontId="0" fillId="0" borderId="0" xfId="0" applyAlignment="1">
      <alignment horizontal="center"/>
    </xf>
    <xf numFmtId="0" fontId="0" fillId="14" borderId="34" xfId="0" applyFill="1" applyBorder="1"/>
    <xf numFmtId="0" fontId="0" fillId="0" borderId="34" xfId="0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59" fillId="8" borderId="23" xfId="0" applyFont="1" applyFill="1" applyBorder="1" applyAlignment="1">
      <alignment horizontal="center" vertical="center" textRotation="90"/>
    </xf>
    <xf numFmtId="0" fontId="59" fillId="8" borderId="18" xfId="0" applyFont="1" applyFill="1" applyBorder="1" applyAlignment="1">
      <alignment horizontal="center" vertical="center" textRotation="90"/>
    </xf>
    <xf numFmtId="0" fontId="59" fillId="8" borderId="29" xfId="0" applyFont="1" applyFill="1" applyBorder="1" applyAlignment="1">
      <alignment horizontal="center" vertical="center" textRotation="90"/>
    </xf>
    <xf numFmtId="0" fontId="26" fillId="3" borderId="0" xfId="0" applyFont="1" applyFill="1" applyBorder="1" applyAlignment="1">
      <alignment horizontal="center" textRotation="90"/>
    </xf>
    <xf numFmtId="0" fontId="76" fillId="10" borderId="14" xfId="0" applyFont="1" applyFill="1" applyBorder="1" applyAlignment="1">
      <alignment horizontal="left"/>
    </xf>
    <xf numFmtId="0" fontId="76" fillId="10" borderId="13" xfId="0" applyFont="1" applyFill="1" applyBorder="1" applyAlignment="1">
      <alignment horizontal="left"/>
    </xf>
    <xf numFmtId="0" fontId="85" fillId="0" borderId="13" xfId="0" applyFont="1" applyBorder="1" applyAlignment="1"/>
    <xf numFmtId="0" fontId="85" fillId="0" borderId="15" xfId="0" applyFont="1" applyBorder="1" applyAlignment="1"/>
    <xf numFmtId="0" fontId="6" fillId="10" borderId="14" xfId="0" applyFont="1" applyFill="1" applyBorder="1" applyAlignment="1">
      <alignment horizontal="left"/>
    </xf>
    <xf numFmtId="0" fontId="6" fillId="10" borderId="13" xfId="0" applyFont="1" applyFill="1" applyBorder="1" applyAlignment="1">
      <alignment horizontal="left"/>
    </xf>
    <xf numFmtId="0" fontId="15" fillId="0" borderId="13" xfId="0" applyFont="1" applyBorder="1" applyAlignment="1"/>
    <xf numFmtId="0" fontId="15" fillId="0" borderId="15" xfId="0" applyFont="1" applyBorder="1" applyAlignment="1"/>
    <xf numFmtId="0" fontId="26" fillId="3" borderId="23" xfId="0" applyFont="1" applyFill="1" applyBorder="1" applyAlignment="1">
      <alignment horizontal="center" textRotation="90"/>
    </xf>
    <xf numFmtId="0" fontId="26" fillId="3" borderId="18" xfId="0" applyFont="1" applyFill="1" applyBorder="1" applyAlignment="1">
      <alignment horizontal="center" textRotation="90"/>
    </xf>
    <xf numFmtId="0" fontId="26" fillId="3" borderId="29" xfId="0" applyFont="1" applyFill="1" applyBorder="1" applyAlignment="1">
      <alignment horizontal="center" textRotation="90"/>
    </xf>
    <xf numFmtId="0" fontId="82" fillId="13" borderId="0" xfId="0" applyFont="1" applyFill="1" applyBorder="1" applyAlignment="1">
      <alignment horizontal="center" vertical="center"/>
    </xf>
    <xf numFmtId="0" fontId="29" fillId="3" borderId="22" xfId="0" applyFont="1" applyFill="1" applyBorder="1" applyAlignment="1">
      <alignment horizontal="center"/>
    </xf>
    <xf numFmtId="0" fontId="29" fillId="3" borderId="17" xfId="0" applyFont="1" applyFill="1" applyBorder="1" applyAlignment="1">
      <alignment horizontal="center"/>
    </xf>
    <xf numFmtId="0" fontId="29" fillId="3" borderId="1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textRotation="180"/>
    </xf>
    <xf numFmtId="0" fontId="6" fillId="0" borderId="0" xfId="0" applyFont="1" applyBorder="1" applyAlignment="1"/>
    <xf numFmtId="0" fontId="6" fillId="0" borderId="0" xfId="0" applyFont="1" applyBorder="1" applyAlignment="1">
      <alignment horizontal="left"/>
    </xf>
    <xf numFmtId="0" fontId="75" fillId="8" borderId="0" xfId="0" applyFont="1" applyFill="1" applyBorder="1" applyAlignment="1">
      <alignment horizontal="center" vertical="top" textRotation="90"/>
    </xf>
    <xf numFmtId="0" fontId="6" fillId="10" borderId="11" xfId="0" applyFont="1" applyFill="1" applyBorder="1" applyAlignment="1">
      <alignment horizontal="left"/>
    </xf>
    <xf numFmtId="0" fontId="6" fillId="10" borderId="0" xfId="0" applyFont="1" applyFill="1" applyBorder="1" applyAlignment="1">
      <alignment horizontal="left"/>
    </xf>
    <xf numFmtId="0" fontId="6" fillId="10" borderId="12" xfId="0" applyFont="1" applyFill="1" applyBorder="1" applyAlignment="1">
      <alignment horizontal="left"/>
    </xf>
    <xf numFmtId="0" fontId="6" fillId="10" borderId="15" xfId="0" applyFont="1" applyFill="1" applyBorder="1" applyAlignment="1">
      <alignment horizontal="left"/>
    </xf>
    <xf numFmtId="0" fontId="29" fillId="3" borderId="0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15" fillId="9" borderId="16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 vertical="center" textRotation="180"/>
    </xf>
    <xf numFmtId="0" fontId="6" fillId="0" borderId="0" xfId="0" applyFont="1" applyFill="1" applyBorder="1" applyAlignment="1"/>
    <xf numFmtId="0" fontId="72" fillId="3" borderId="23" xfId="0" applyFont="1" applyFill="1" applyBorder="1" applyAlignment="1">
      <alignment horizontal="center" vertical="top" textRotation="90"/>
    </xf>
    <xf numFmtId="0" fontId="72" fillId="3" borderId="18" xfId="0" applyFont="1" applyFill="1" applyBorder="1" applyAlignment="1">
      <alignment horizontal="center" vertical="top" textRotation="90"/>
    </xf>
    <xf numFmtId="0" fontId="72" fillId="3" borderId="29" xfId="0" applyFont="1" applyFill="1" applyBorder="1" applyAlignment="1">
      <alignment horizontal="center" vertical="top" textRotation="90"/>
    </xf>
    <xf numFmtId="0" fontId="15" fillId="10" borderId="0" xfId="0" applyFont="1" applyFill="1" applyAlignment="1">
      <alignment horizontal="left" vertical="top" wrapText="1"/>
    </xf>
    <xf numFmtId="0" fontId="0" fillId="10" borderId="0" xfId="0" applyFill="1" applyAlignment="1">
      <alignment horizontal="left" vertical="top" wrapText="1"/>
    </xf>
    <xf numFmtId="0" fontId="15" fillId="10" borderId="0" xfId="0" applyFont="1" applyFill="1" applyAlignment="1">
      <alignment wrapText="1"/>
    </xf>
    <xf numFmtId="0" fontId="0" fillId="0" borderId="0" xfId="0" applyAlignment="1"/>
    <xf numFmtId="0" fontId="15" fillId="10" borderId="0" xfId="0" applyFont="1" applyFill="1" applyAlignment="1">
      <alignment horizontal="left" wrapText="1"/>
    </xf>
    <xf numFmtId="0" fontId="59" fillId="11" borderId="22" xfId="0" applyFont="1" applyFill="1" applyBorder="1" applyAlignment="1">
      <alignment horizontal="center"/>
    </xf>
    <xf numFmtId="0" fontId="59" fillId="11" borderId="17" xfId="0" applyFont="1" applyFill="1" applyBorder="1" applyAlignment="1">
      <alignment horizontal="center"/>
    </xf>
    <xf numFmtId="0" fontId="59" fillId="11" borderId="16" xfId="0" applyFont="1" applyFill="1" applyBorder="1" applyAlignment="1">
      <alignment horizontal="center"/>
    </xf>
    <xf numFmtId="0" fontId="8" fillId="3" borderId="0" xfId="0" applyFont="1" applyFill="1" applyAlignment="1">
      <alignment horizontal="left" vertical="center"/>
    </xf>
    <xf numFmtId="0" fontId="12" fillId="0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center" vertical="justify"/>
    </xf>
    <xf numFmtId="0" fontId="49" fillId="0" borderId="0" xfId="1" quotePrefix="1" applyFont="1" applyFill="1" applyBorder="1" applyAlignment="1">
      <alignment horizontal="left" vertical="center"/>
    </xf>
    <xf numFmtId="0" fontId="12" fillId="3" borderId="22" xfId="1" applyFont="1" applyFill="1" applyBorder="1" applyAlignment="1">
      <alignment horizontal="left" vertical="center"/>
    </xf>
    <xf numFmtId="0" fontId="12" fillId="3" borderId="17" xfId="1" applyFont="1" applyFill="1" applyBorder="1" applyAlignment="1">
      <alignment horizontal="left" vertical="center"/>
    </xf>
    <xf numFmtId="0" fontId="12" fillId="3" borderId="16" xfId="1" applyFont="1" applyFill="1" applyBorder="1" applyAlignment="1">
      <alignment horizontal="left" vertical="center"/>
    </xf>
    <xf numFmtId="0" fontId="18" fillId="3" borderId="0" xfId="1" applyFont="1" applyFill="1" applyBorder="1" applyAlignment="1">
      <alignment horizontal="center" vertical="justify"/>
    </xf>
    <xf numFmtId="20" fontId="12" fillId="3" borderId="22" xfId="1" applyNumberFormat="1" applyFont="1" applyFill="1" applyBorder="1" applyAlignment="1">
      <alignment horizontal="left" vertical="center"/>
    </xf>
    <xf numFmtId="0" fontId="14" fillId="0" borderId="22" xfId="1" applyFont="1" applyBorder="1" applyAlignment="1"/>
    <xf numFmtId="0" fontId="14" fillId="0" borderId="17" xfId="1" applyFont="1" applyBorder="1" applyAlignment="1"/>
    <xf numFmtId="0" fontId="14" fillId="0" borderId="16" xfId="1" applyFont="1" applyBorder="1" applyAlignment="1"/>
    <xf numFmtId="0" fontId="49" fillId="3" borderId="22" xfId="1" quotePrefix="1" applyFont="1" applyFill="1" applyBorder="1" applyAlignment="1">
      <alignment horizontal="left" vertical="center"/>
    </xf>
    <xf numFmtId="0" fontId="49" fillId="3" borderId="17" xfId="1" quotePrefix="1" applyFont="1" applyFill="1" applyBorder="1" applyAlignment="1">
      <alignment horizontal="left" vertical="center"/>
    </xf>
    <xf numFmtId="0" fontId="49" fillId="3" borderId="16" xfId="1" quotePrefix="1" applyFont="1" applyFill="1" applyBorder="1" applyAlignment="1">
      <alignment horizontal="left" vertical="center"/>
    </xf>
    <xf numFmtId="20" fontId="49" fillId="3" borderId="22" xfId="1" quotePrefix="1" applyNumberFormat="1" applyFont="1" applyFill="1" applyBorder="1" applyAlignment="1">
      <alignment horizontal="left" vertical="center"/>
    </xf>
    <xf numFmtId="0" fontId="49" fillId="3" borderId="22" xfId="1" applyFont="1" applyFill="1" applyBorder="1" applyAlignment="1">
      <alignment horizontal="left" vertical="center"/>
    </xf>
    <xf numFmtId="20" fontId="49" fillId="3" borderId="22" xfId="1" applyNumberFormat="1" applyFont="1" applyFill="1" applyBorder="1" applyAlignment="1">
      <alignment horizontal="left" vertical="center"/>
    </xf>
    <xf numFmtId="0" fontId="73" fillId="7" borderId="22" xfId="0" applyFont="1" applyFill="1" applyBorder="1" applyAlignment="1">
      <alignment horizontal="center" vertical="center"/>
    </xf>
    <xf numFmtId="0" fontId="73" fillId="7" borderId="17" xfId="0" applyFont="1" applyFill="1" applyBorder="1" applyAlignment="1">
      <alignment horizontal="center" vertical="center"/>
    </xf>
    <xf numFmtId="0" fontId="73" fillId="7" borderId="16" xfId="0" applyFont="1" applyFill="1" applyBorder="1" applyAlignment="1">
      <alignment horizontal="center" vertical="center"/>
    </xf>
    <xf numFmtId="0" fontId="66" fillId="1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6" fillId="3" borderId="0" xfId="0" applyFont="1" applyFill="1" applyBorder="1" applyAlignment="1">
      <alignment horizontal="center" vertical="center"/>
    </xf>
    <xf numFmtId="0" fontId="52" fillId="0" borderId="3" xfId="0" applyFont="1" applyFill="1" applyBorder="1" applyAlignment="1">
      <alignment horizontal="center"/>
    </xf>
    <xf numFmtId="0" fontId="52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/>
    </xf>
    <xf numFmtId="0" fontId="24" fillId="0" borderId="5" xfId="0" applyFont="1" applyFill="1" applyBorder="1" applyAlignment="1">
      <alignment horizontal="left"/>
    </xf>
    <xf numFmtId="20" fontId="24" fillId="0" borderId="3" xfId="0" applyNumberFormat="1" applyFont="1" applyFill="1" applyBorder="1" applyAlignment="1">
      <alignment horizontal="left"/>
    </xf>
    <xf numFmtId="0" fontId="69" fillId="10" borderId="0" xfId="0" applyFont="1" applyFill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/>
    </xf>
    <xf numFmtId="0" fontId="27" fillId="3" borderId="2" xfId="0" applyFont="1" applyFill="1" applyBorder="1" applyAlignment="1">
      <alignment horizontal="center"/>
    </xf>
    <xf numFmtId="0" fontId="27" fillId="3" borderId="6" xfId="0" applyFont="1" applyFill="1" applyBorder="1" applyAlignment="1">
      <alignment horizontal="center"/>
    </xf>
    <xf numFmtId="0" fontId="26" fillId="3" borderId="0" xfId="0" applyFont="1" applyFill="1" applyBorder="1" applyAlignment="1">
      <alignment horizontal="left" vertical="center"/>
    </xf>
    <xf numFmtId="0" fontId="26" fillId="3" borderId="5" xfId="0" applyFont="1" applyFill="1" applyBorder="1" applyAlignment="1">
      <alignment horizontal="left" vertical="center"/>
    </xf>
    <xf numFmtId="20" fontId="24" fillId="0" borderId="25" xfId="0" applyNumberFormat="1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4" fillId="0" borderId="24" xfId="0" applyFont="1" applyFill="1" applyBorder="1" applyAlignment="1">
      <alignment horizontal="left"/>
    </xf>
    <xf numFmtId="0" fontId="25" fillId="0" borderId="2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27" fillId="3" borderId="27" xfId="0" applyFont="1" applyFill="1" applyBorder="1" applyAlignment="1">
      <alignment horizontal="center"/>
    </xf>
    <xf numFmtId="0" fontId="27" fillId="3" borderId="28" xfId="0" applyFont="1" applyFill="1" applyBorder="1" applyAlignment="1">
      <alignment horizontal="center"/>
    </xf>
    <xf numFmtId="0" fontId="27" fillId="3" borderId="26" xfId="0" applyFont="1" applyFill="1" applyBorder="1" applyAlignment="1">
      <alignment horizontal="center"/>
    </xf>
    <xf numFmtId="0" fontId="30" fillId="10" borderId="0" xfId="0" applyFont="1" applyFill="1" applyAlignment="1">
      <alignment horizontal="center"/>
    </xf>
    <xf numFmtId="0" fontId="27" fillId="3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20" fontId="24" fillId="0" borderId="0" xfId="0" applyNumberFormat="1" applyFont="1" applyFill="1" applyBorder="1" applyAlignment="1">
      <alignment horizontal="left"/>
    </xf>
    <xf numFmtId="0" fontId="27" fillId="3" borderId="30" xfId="0" applyFont="1" applyFill="1" applyBorder="1" applyAlignment="1">
      <alignment horizontal="center"/>
    </xf>
    <xf numFmtId="0" fontId="27" fillId="3" borderId="31" xfId="0" applyFont="1" applyFill="1" applyBorder="1" applyAlignment="1">
      <alignment horizontal="center"/>
    </xf>
    <xf numFmtId="0" fontId="27" fillId="3" borderId="32" xfId="0" applyFont="1" applyFill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70" fillId="8" borderId="17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69" fillId="0" borderId="0" xfId="0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0" fontId="24" fillId="0" borderId="0" xfId="0" applyFont="1" applyFill="1" applyBorder="1" applyAlignment="1"/>
    <xf numFmtId="0" fontId="24" fillId="10" borderId="0" xfId="0" applyFont="1" applyFill="1" applyBorder="1" applyAlignment="1">
      <alignment horizontal="left"/>
    </xf>
    <xf numFmtId="0" fontId="26" fillId="10" borderId="0" xfId="0" applyFont="1" applyFill="1" applyBorder="1" applyAlignment="1">
      <alignment horizontal="center" vertical="center"/>
    </xf>
    <xf numFmtId="20" fontId="24" fillId="10" borderId="0" xfId="0" applyNumberFormat="1" applyFont="1" applyFill="1" applyBorder="1" applyAlignment="1">
      <alignment horizontal="left"/>
    </xf>
    <xf numFmtId="0" fontId="63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28" fillId="10" borderId="0" xfId="0" applyFont="1" applyFill="1" applyBorder="1" applyAlignment="1">
      <alignment horizontal="center"/>
    </xf>
    <xf numFmtId="0" fontId="25" fillId="10" borderId="0" xfId="0" applyFont="1" applyFill="1" applyBorder="1" applyAlignment="1">
      <alignment horizontal="center"/>
    </xf>
    <xf numFmtId="0" fontId="62" fillId="0" borderId="0" xfId="0" applyFont="1" applyFill="1" applyBorder="1" applyAlignment="1">
      <alignment horizontal="center"/>
    </xf>
    <xf numFmtId="20" fontId="24" fillId="10" borderId="0" xfId="0" applyNumberFormat="1" applyFont="1" applyFill="1" applyBorder="1" applyAlignment="1">
      <alignment horizontal="center"/>
    </xf>
    <xf numFmtId="0" fontId="24" fillId="10" borderId="0" xfId="0" applyFont="1" applyFill="1" applyBorder="1" applyAlignment="1">
      <alignment horizontal="center"/>
    </xf>
    <xf numFmtId="0" fontId="26" fillId="10" borderId="0" xfId="0" applyFont="1" applyFill="1" applyBorder="1" applyAlignment="1">
      <alignment horizontal="left" vertical="center"/>
    </xf>
    <xf numFmtId="20" fontId="61" fillId="0" borderId="0" xfId="0" applyNumberFormat="1" applyFont="1" applyFill="1" applyBorder="1" applyAlignment="1">
      <alignment horizontal="left"/>
    </xf>
    <xf numFmtId="0" fontId="61" fillId="0" borderId="0" xfId="0" applyFont="1" applyFill="1" applyBorder="1" applyAlignment="1">
      <alignment horizontal="left"/>
    </xf>
    <xf numFmtId="0" fontId="27" fillId="10" borderId="0" xfId="0" applyFont="1" applyFill="1" applyBorder="1" applyAlignment="1">
      <alignment horizontal="center"/>
    </xf>
    <xf numFmtId="0" fontId="63" fillId="0" borderId="0" xfId="0" applyFont="1" applyFill="1" applyBorder="1" applyAlignment="1">
      <alignment horizontal="left" vertical="center"/>
    </xf>
    <xf numFmtId="0" fontId="79" fillId="0" borderId="0" xfId="0" applyFont="1" applyFill="1" applyBorder="1" applyAlignment="1">
      <alignment horizontal="center"/>
    </xf>
    <xf numFmtId="0" fontId="63" fillId="0" borderId="0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/>
    </xf>
    <xf numFmtId="0" fontId="5" fillId="10" borderId="0" xfId="0" applyFont="1" applyFill="1" applyAlignment="1">
      <alignment horizontal="left"/>
    </xf>
  </cellXfs>
  <cellStyles count="4">
    <cellStyle name="Normal" xfId="0" builtinId="0"/>
    <cellStyle name="Normal 2" xfId="2"/>
    <cellStyle name="Normal 3" xfId="3"/>
    <cellStyle name="Standaard_LSV2002 Wedstrijdbriefjes" xfId="1"/>
  </cellStyles>
  <dxfs count="0"/>
  <tableStyles count="0" defaultTableStyle="TableStyleMedium2" defaultPivotStyle="PivotStyleLight16"/>
  <colors>
    <mruColors>
      <color rgb="FF53C6FF"/>
      <color rgb="FF2970FF"/>
      <color rgb="FF003399"/>
      <color rgb="FF0051F2"/>
      <color rgb="FF116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149086</xdr:colOff>
      <xdr:row>1</xdr:row>
      <xdr:rowOff>1</xdr:rowOff>
    </xdr:from>
    <xdr:to>
      <xdr:col>32</xdr:col>
      <xdr:colOff>91108</xdr:colOff>
      <xdr:row>2</xdr:row>
      <xdr:rowOff>43962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9890" y="165653"/>
          <a:ext cx="5855805" cy="474657"/>
        </a:xfrm>
        <a:prstGeom prst="rect">
          <a:avLst/>
        </a:prstGeom>
      </xdr:spPr>
    </xdr:pic>
    <xdr:clientData/>
  </xdr:twoCellAnchor>
  <xdr:twoCellAnchor>
    <xdr:from>
      <xdr:col>3</xdr:col>
      <xdr:colOff>168519</xdr:colOff>
      <xdr:row>0</xdr:row>
      <xdr:rowOff>139212</xdr:rowOff>
    </xdr:from>
    <xdr:to>
      <xdr:col>31</xdr:col>
      <xdr:colOff>65942</xdr:colOff>
      <xdr:row>1</xdr:row>
      <xdr:rowOff>402981</xdr:rowOff>
    </xdr:to>
    <xdr:sp macro="" textlink="">
      <xdr:nvSpPr>
        <xdr:cNvPr id="5" name="TextBox 4"/>
        <xdr:cNvSpPr txBox="1"/>
      </xdr:nvSpPr>
      <xdr:spPr>
        <a:xfrm>
          <a:off x="468923" y="139212"/>
          <a:ext cx="5436577" cy="4249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3000">
              <a:solidFill>
                <a:srgbClr val="FFFF00"/>
              </a:solidFill>
              <a:latin typeface="American Captain" pitchFamily="2" charset="0"/>
            </a:rPr>
            <a:t>KWALIFICATIE  </a:t>
          </a:r>
          <a:r>
            <a:rPr lang="en-US" sz="3000" baseline="0">
              <a:solidFill>
                <a:schemeClr val="bg1"/>
              </a:solidFill>
              <a:latin typeface="American Captain" pitchFamily="2" charset="0"/>
            </a:rPr>
            <a:t>-  HALVE VELDJES CUP</a:t>
          </a:r>
          <a:endParaRPr lang="en-US" sz="3000">
            <a:solidFill>
              <a:schemeClr val="bg1"/>
            </a:solidFill>
            <a:latin typeface="American Captain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178594</xdr:colOff>
      <xdr:row>0</xdr:row>
      <xdr:rowOff>152950</xdr:rowOff>
    </xdr:from>
    <xdr:to>
      <xdr:col>32</xdr:col>
      <xdr:colOff>17859</xdr:colOff>
      <xdr:row>2</xdr:row>
      <xdr:rowOff>39841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1703" y="152950"/>
          <a:ext cx="5899547" cy="476250"/>
        </a:xfrm>
        <a:prstGeom prst="rect">
          <a:avLst/>
        </a:prstGeom>
      </xdr:spPr>
    </xdr:pic>
    <xdr:clientData/>
  </xdr:twoCellAnchor>
  <xdr:twoCellAnchor>
    <xdr:from>
      <xdr:col>3</xdr:col>
      <xdr:colOff>156613</xdr:colOff>
      <xdr:row>0</xdr:row>
      <xdr:rowOff>130969</xdr:rowOff>
    </xdr:from>
    <xdr:to>
      <xdr:col>30</xdr:col>
      <xdr:colOff>128221</xdr:colOff>
      <xdr:row>1</xdr:row>
      <xdr:rowOff>395196</xdr:rowOff>
    </xdr:to>
    <xdr:sp macro="" textlink="">
      <xdr:nvSpPr>
        <xdr:cNvPr id="5" name="TextBox 4"/>
        <xdr:cNvSpPr txBox="1"/>
      </xdr:nvSpPr>
      <xdr:spPr>
        <a:xfrm>
          <a:off x="460222" y="130969"/>
          <a:ext cx="5436577" cy="4249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3000" baseline="0">
              <a:solidFill>
                <a:srgbClr val="FFFF00"/>
              </a:solidFill>
              <a:latin typeface="American Captain" pitchFamily="2" charset="0"/>
            </a:rPr>
            <a:t>KWALIFICATIE</a:t>
          </a:r>
          <a:r>
            <a:rPr lang="en-US" sz="3000" baseline="0">
              <a:solidFill>
                <a:schemeClr val="bg1"/>
              </a:solidFill>
              <a:latin typeface="American Captain" pitchFamily="2" charset="0"/>
            </a:rPr>
            <a:t>   -  HALVE VELDJES CUP</a:t>
          </a:r>
          <a:endParaRPr lang="en-US" sz="3000">
            <a:solidFill>
              <a:schemeClr val="bg1"/>
            </a:solidFill>
            <a:latin typeface="American Captain" pitchFamily="2" charset="0"/>
          </a:endParaRPr>
        </a:p>
      </xdr:txBody>
    </xdr:sp>
    <xdr:clientData/>
  </xdr:twoCellAnchor>
  <xdr:twoCellAnchor editAs="oneCell">
    <xdr:from>
      <xdr:col>2</xdr:col>
      <xdr:colOff>190499</xdr:colOff>
      <xdr:row>60</xdr:row>
      <xdr:rowOff>55112</xdr:rowOff>
    </xdr:from>
    <xdr:to>
      <xdr:col>32</xdr:col>
      <xdr:colOff>29764</xdr:colOff>
      <xdr:row>63</xdr:row>
      <xdr:rowOff>91090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456" y="7998134"/>
          <a:ext cx="5794460" cy="483239"/>
        </a:xfrm>
        <a:prstGeom prst="rect">
          <a:avLst/>
        </a:prstGeom>
      </xdr:spPr>
    </xdr:pic>
    <xdr:clientData/>
  </xdr:twoCellAnchor>
  <xdr:twoCellAnchor>
    <xdr:from>
      <xdr:col>3</xdr:col>
      <xdr:colOff>168518</xdr:colOff>
      <xdr:row>60</xdr:row>
      <xdr:rowOff>33131</xdr:rowOff>
    </xdr:from>
    <xdr:to>
      <xdr:col>30</xdr:col>
      <xdr:colOff>140126</xdr:colOff>
      <xdr:row>63</xdr:row>
      <xdr:rowOff>15749</xdr:rowOff>
    </xdr:to>
    <xdr:sp macro="" textlink="">
      <xdr:nvSpPr>
        <xdr:cNvPr id="7" name="TextBox 6"/>
        <xdr:cNvSpPr txBox="1"/>
      </xdr:nvSpPr>
      <xdr:spPr>
        <a:xfrm>
          <a:off x="474975" y="7976153"/>
          <a:ext cx="5338738" cy="4298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3000" baseline="0">
              <a:solidFill>
                <a:srgbClr val="FFFF00"/>
              </a:solidFill>
              <a:latin typeface="American Captain" pitchFamily="2" charset="0"/>
            </a:rPr>
            <a:t>FINALES</a:t>
          </a:r>
          <a:r>
            <a:rPr lang="en-US" sz="3000" baseline="0">
              <a:solidFill>
                <a:schemeClr val="bg1"/>
              </a:solidFill>
              <a:latin typeface="American Captain" pitchFamily="2" charset="0"/>
            </a:rPr>
            <a:t>   -  HALVE VELDJES CUP</a:t>
          </a:r>
          <a:endParaRPr lang="en-US" sz="3000">
            <a:solidFill>
              <a:schemeClr val="bg1"/>
            </a:solidFill>
            <a:latin typeface="American Captain" pitchFamily="2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588818</xdr:colOff>
      <xdr:row>0</xdr:row>
      <xdr:rowOff>143208</xdr:rowOff>
    </xdr:from>
    <xdr:to>
      <xdr:col>11</xdr:col>
      <xdr:colOff>853266</xdr:colOff>
      <xdr:row>2</xdr:row>
      <xdr:rowOff>21981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818" y="143208"/>
          <a:ext cx="5736993" cy="476250"/>
        </a:xfrm>
        <a:prstGeom prst="rect">
          <a:avLst/>
        </a:prstGeom>
      </xdr:spPr>
    </xdr:pic>
    <xdr:clientData/>
  </xdr:twoCellAnchor>
  <xdr:twoCellAnchor>
    <xdr:from>
      <xdr:col>0</xdr:col>
      <xdr:colOff>757337</xdr:colOff>
      <xdr:row>0</xdr:row>
      <xdr:rowOff>121227</xdr:rowOff>
    </xdr:from>
    <xdr:to>
      <xdr:col>11</xdr:col>
      <xdr:colOff>721369</xdr:colOff>
      <xdr:row>1</xdr:row>
      <xdr:rowOff>381665</xdr:rowOff>
    </xdr:to>
    <xdr:sp macro="" textlink="">
      <xdr:nvSpPr>
        <xdr:cNvPr id="6" name="TextBox 5"/>
        <xdr:cNvSpPr txBox="1"/>
      </xdr:nvSpPr>
      <xdr:spPr>
        <a:xfrm>
          <a:off x="757337" y="121227"/>
          <a:ext cx="5436577" cy="4249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3000">
              <a:solidFill>
                <a:srgbClr val="FFFF00"/>
              </a:solidFill>
              <a:latin typeface="American Captain" pitchFamily="2" charset="0"/>
            </a:rPr>
            <a:t>FINALES</a:t>
          </a:r>
          <a:r>
            <a:rPr lang="en-US" sz="3000" baseline="0">
              <a:solidFill>
                <a:schemeClr val="bg1"/>
              </a:solidFill>
              <a:latin typeface="American Captain" pitchFamily="2" charset="0"/>
            </a:rPr>
            <a:t>   -  HALVE VELDJES CUP</a:t>
          </a:r>
          <a:endParaRPr lang="en-US" sz="3000">
            <a:solidFill>
              <a:schemeClr val="bg1"/>
            </a:solidFill>
            <a:latin typeface="American Captain" pitchFamily="2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0</xdr:colOff>
      <xdr:row>65</xdr:row>
      <xdr:rowOff>0</xdr:rowOff>
    </xdr:from>
    <xdr:to>
      <xdr:col>100</xdr:col>
      <xdr:colOff>209550</xdr:colOff>
      <xdr:row>68</xdr:row>
      <xdr:rowOff>142875</xdr:rowOff>
    </xdr:to>
    <xdr:pic>
      <xdr:nvPicPr>
        <xdr:cNvPr id="1025" name="Picture 1" descr="Logo horizontal cropped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10744200"/>
          <a:ext cx="20478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0</xdr:colOff>
      <xdr:row>0</xdr:row>
      <xdr:rowOff>0</xdr:rowOff>
    </xdr:from>
    <xdr:to>
      <xdr:col>98</xdr:col>
      <xdr:colOff>123825</xdr:colOff>
      <xdr:row>4</xdr:row>
      <xdr:rowOff>0</xdr:rowOff>
    </xdr:to>
    <xdr:pic>
      <xdr:nvPicPr>
        <xdr:cNvPr id="1026" name="Picture 2" descr="Logo">
          <a:extLst>
            <a:ext uri="{FF2B5EF4-FFF2-40B4-BE49-F238E27FC236}">
              <a16:creationId xmlns:a16="http://schemas.microsoft.com/office/drawing/2014/main" id="{00000000-0008-0000-04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0"/>
          <a:ext cx="74295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</xdr:col>
      <xdr:colOff>171450</xdr:colOff>
      <xdr:row>0</xdr:row>
      <xdr:rowOff>133350</xdr:rowOff>
    </xdr:from>
    <xdr:to>
      <xdr:col>98</xdr:col>
      <xdr:colOff>85725</xdr:colOff>
      <xdr:row>2</xdr:row>
      <xdr:rowOff>104775</xdr:rowOff>
    </xdr:to>
    <xdr:pic>
      <xdr:nvPicPr>
        <xdr:cNvPr id="1027" name="Picture 3" descr="infoplus1">
          <a:extLst>
            <a:ext uri="{FF2B5EF4-FFF2-40B4-BE49-F238E27FC236}">
              <a16:creationId xmlns:a16="http://schemas.microsoft.com/office/drawing/2014/main" id="{00000000-0008-0000-04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133350"/>
          <a:ext cx="70485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</xdr:col>
      <xdr:colOff>0</xdr:colOff>
      <xdr:row>0</xdr:row>
      <xdr:rowOff>123825</xdr:rowOff>
    </xdr:from>
    <xdr:to>
      <xdr:col>100</xdr:col>
      <xdr:colOff>19050</xdr:colOff>
      <xdr:row>2</xdr:row>
      <xdr:rowOff>95250</xdr:rowOff>
    </xdr:to>
    <xdr:pic>
      <xdr:nvPicPr>
        <xdr:cNvPr id="1028" name="Picture 4" descr="ftgotg2">
          <a:extLst>
            <a:ext uri="{FF2B5EF4-FFF2-40B4-BE49-F238E27FC236}">
              <a16:creationId xmlns:a16="http://schemas.microsoft.com/office/drawing/2014/main" id="{00000000-0008-0000-04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123825"/>
          <a:ext cx="185737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</xdr:col>
      <xdr:colOff>0</xdr:colOff>
      <xdr:row>65</xdr:row>
      <xdr:rowOff>0</xdr:rowOff>
    </xdr:from>
    <xdr:to>
      <xdr:col>99</xdr:col>
      <xdr:colOff>381000</xdr:colOff>
      <xdr:row>78</xdr:row>
      <xdr:rowOff>76200</xdr:rowOff>
    </xdr:to>
    <xdr:pic>
      <xdr:nvPicPr>
        <xdr:cNvPr id="1029" name="Picture 5" descr="Map Korea test">
          <a:extLst>
            <a:ext uri="{FF2B5EF4-FFF2-40B4-BE49-F238E27FC236}">
              <a16:creationId xmlns:a16="http://schemas.microsoft.com/office/drawing/2014/main" id="{00000000-0008-0000-04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10744200"/>
          <a:ext cx="1609725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0</xdr:colOff>
      <xdr:row>64</xdr:row>
      <xdr:rowOff>0</xdr:rowOff>
    </xdr:from>
    <xdr:to>
      <xdr:col>99</xdr:col>
      <xdr:colOff>219075</xdr:colOff>
      <xdr:row>67</xdr:row>
      <xdr:rowOff>133350</xdr:rowOff>
    </xdr:to>
    <xdr:pic>
      <xdr:nvPicPr>
        <xdr:cNvPr id="5121" name="Picture 1" descr="Logo horizontal cropped">
          <a:extLst>
            <a:ext uri="{FF2B5EF4-FFF2-40B4-BE49-F238E27FC236}">
              <a16:creationId xmlns:a16="http://schemas.microsoft.com/office/drawing/2014/main" id="{00000000-0008-0000-08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0" y="10610850"/>
          <a:ext cx="20478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0</xdr:colOff>
      <xdr:row>0</xdr:row>
      <xdr:rowOff>0</xdr:rowOff>
    </xdr:from>
    <xdr:to>
      <xdr:col>97</xdr:col>
      <xdr:colOff>133350</xdr:colOff>
      <xdr:row>4</xdr:row>
      <xdr:rowOff>0</xdr:rowOff>
    </xdr:to>
    <xdr:pic>
      <xdr:nvPicPr>
        <xdr:cNvPr id="5122" name="Picture 2" descr="Logo">
          <a:extLst>
            <a:ext uri="{FF2B5EF4-FFF2-40B4-BE49-F238E27FC236}">
              <a16:creationId xmlns:a16="http://schemas.microsoft.com/office/drawing/2014/main" id="{00000000-0008-0000-0800-00000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0" y="0"/>
          <a:ext cx="74295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</xdr:col>
      <xdr:colOff>171450</xdr:colOff>
      <xdr:row>0</xdr:row>
      <xdr:rowOff>133350</xdr:rowOff>
    </xdr:from>
    <xdr:to>
      <xdr:col>97</xdr:col>
      <xdr:colOff>95250</xdr:colOff>
      <xdr:row>2</xdr:row>
      <xdr:rowOff>104775</xdr:rowOff>
    </xdr:to>
    <xdr:pic>
      <xdr:nvPicPr>
        <xdr:cNvPr id="5123" name="Picture 3" descr="infoplus1">
          <a:extLst>
            <a:ext uri="{FF2B5EF4-FFF2-40B4-BE49-F238E27FC236}">
              <a16:creationId xmlns:a16="http://schemas.microsoft.com/office/drawing/2014/main" id="{00000000-0008-0000-0800-00000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0" y="133350"/>
          <a:ext cx="70485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</xdr:col>
      <xdr:colOff>0</xdr:colOff>
      <xdr:row>0</xdr:row>
      <xdr:rowOff>123825</xdr:rowOff>
    </xdr:from>
    <xdr:to>
      <xdr:col>99</xdr:col>
      <xdr:colOff>28575</xdr:colOff>
      <xdr:row>2</xdr:row>
      <xdr:rowOff>95250</xdr:rowOff>
    </xdr:to>
    <xdr:pic>
      <xdr:nvPicPr>
        <xdr:cNvPr id="5124" name="Picture 4" descr="ftgotg2">
          <a:extLst>
            <a:ext uri="{FF2B5EF4-FFF2-40B4-BE49-F238E27FC236}">
              <a16:creationId xmlns:a16="http://schemas.microsoft.com/office/drawing/2014/main" id="{00000000-0008-0000-0800-00000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0" y="123825"/>
          <a:ext cx="185737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</xdr:col>
      <xdr:colOff>0</xdr:colOff>
      <xdr:row>64</xdr:row>
      <xdr:rowOff>0</xdr:rowOff>
    </xdr:from>
    <xdr:to>
      <xdr:col>98</xdr:col>
      <xdr:colOff>390525</xdr:colOff>
      <xdr:row>77</xdr:row>
      <xdr:rowOff>76200</xdr:rowOff>
    </xdr:to>
    <xdr:pic>
      <xdr:nvPicPr>
        <xdr:cNvPr id="5125" name="Picture 5" descr="Map Korea test">
          <a:extLst>
            <a:ext uri="{FF2B5EF4-FFF2-40B4-BE49-F238E27FC236}">
              <a16:creationId xmlns:a16="http://schemas.microsoft.com/office/drawing/2014/main" id="{00000000-0008-0000-0800-00000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0" y="10610850"/>
          <a:ext cx="1609725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0</xdr:colOff>
      <xdr:row>64</xdr:row>
      <xdr:rowOff>0</xdr:rowOff>
    </xdr:from>
    <xdr:to>
      <xdr:col>104</xdr:col>
      <xdr:colOff>209550</xdr:colOff>
      <xdr:row>67</xdr:row>
      <xdr:rowOff>142875</xdr:rowOff>
    </xdr:to>
    <xdr:pic>
      <xdr:nvPicPr>
        <xdr:cNvPr id="8193" name="Picture 1" descr="Logo horizontal cropped">
          <a:extLst>
            <a:ext uri="{FF2B5EF4-FFF2-40B4-BE49-F238E27FC236}">
              <a16:creationId xmlns:a16="http://schemas.microsoft.com/office/drawing/2014/main" id="{00000000-0008-0000-0A00-00000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10734675"/>
          <a:ext cx="20478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0</xdr:colOff>
      <xdr:row>0</xdr:row>
      <xdr:rowOff>0</xdr:rowOff>
    </xdr:from>
    <xdr:to>
      <xdr:col>102</xdr:col>
      <xdr:colOff>123825</xdr:colOff>
      <xdr:row>4</xdr:row>
      <xdr:rowOff>0</xdr:rowOff>
    </xdr:to>
    <xdr:pic>
      <xdr:nvPicPr>
        <xdr:cNvPr id="8194" name="Picture 2" descr="Logo">
          <a:extLst>
            <a:ext uri="{FF2B5EF4-FFF2-40B4-BE49-F238E27FC236}">
              <a16:creationId xmlns:a16="http://schemas.microsoft.com/office/drawing/2014/main" id="{00000000-0008-0000-0A00-00000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0"/>
          <a:ext cx="74295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</xdr:col>
      <xdr:colOff>171450</xdr:colOff>
      <xdr:row>0</xdr:row>
      <xdr:rowOff>133350</xdr:rowOff>
    </xdr:from>
    <xdr:to>
      <xdr:col>102</xdr:col>
      <xdr:colOff>85725</xdr:colOff>
      <xdr:row>2</xdr:row>
      <xdr:rowOff>104775</xdr:rowOff>
    </xdr:to>
    <xdr:pic>
      <xdr:nvPicPr>
        <xdr:cNvPr id="8195" name="Picture 3" descr="infoplus1">
          <a:extLst>
            <a:ext uri="{FF2B5EF4-FFF2-40B4-BE49-F238E27FC236}">
              <a16:creationId xmlns:a16="http://schemas.microsoft.com/office/drawing/2014/main" id="{00000000-0008-0000-0A00-00000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133350"/>
          <a:ext cx="70485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</xdr:col>
      <xdr:colOff>0</xdr:colOff>
      <xdr:row>0</xdr:row>
      <xdr:rowOff>123825</xdr:rowOff>
    </xdr:from>
    <xdr:to>
      <xdr:col>104</xdr:col>
      <xdr:colOff>19050</xdr:colOff>
      <xdr:row>2</xdr:row>
      <xdr:rowOff>95250</xdr:rowOff>
    </xdr:to>
    <xdr:pic>
      <xdr:nvPicPr>
        <xdr:cNvPr id="8196" name="Picture 4" descr="ftgotg2">
          <a:extLst>
            <a:ext uri="{FF2B5EF4-FFF2-40B4-BE49-F238E27FC236}">
              <a16:creationId xmlns:a16="http://schemas.microsoft.com/office/drawing/2014/main" id="{00000000-0008-0000-0A00-00000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123825"/>
          <a:ext cx="185737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</xdr:col>
      <xdr:colOff>0</xdr:colOff>
      <xdr:row>64</xdr:row>
      <xdr:rowOff>0</xdr:rowOff>
    </xdr:from>
    <xdr:to>
      <xdr:col>103</xdr:col>
      <xdr:colOff>390525</xdr:colOff>
      <xdr:row>77</xdr:row>
      <xdr:rowOff>76200</xdr:rowOff>
    </xdr:to>
    <xdr:pic>
      <xdr:nvPicPr>
        <xdr:cNvPr id="8197" name="Picture 5" descr="Map Korea test">
          <a:extLst>
            <a:ext uri="{FF2B5EF4-FFF2-40B4-BE49-F238E27FC236}">
              <a16:creationId xmlns:a16="http://schemas.microsoft.com/office/drawing/2014/main" id="{00000000-0008-0000-0A00-00000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10734675"/>
          <a:ext cx="1609725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187601</xdr:colOff>
      <xdr:row>2</xdr:row>
      <xdr:rowOff>60463</xdr:rowOff>
    </xdr:from>
    <xdr:to>
      <xdr:col>2</xdr:col>
      <xdr:colOff>0</xdr:colOff>
      <xdr:row>3</xdr:row>
      <xdr:rowOff>1019646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01" y="491159"/>
          <a:ext cx="938834" cy="10668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jn%20documenten/Documents%20Dennis/DOCS/WKPo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J 2002"/>
      <sheetName val="Group Points"/>
    </sheetNames>
    <sheetDataSet>
      <sheetData sheetId="0" refreshError="1"/>
      <sheetData sheetId="1" refreshError="1">
        <row r="4">
          <cell r="B4">
            <v>3</v>
          </cell>
        </row>
        <row r="5">
          <cell r="B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8"/>
  <sheetViews>
    <sheetView zoomScale="120" zoomScaleNormal="120" workbookViewId="0">
      <selection activeCell="B30" sqref="B30"/>
    </sheetView>
  </sheetViews>
  <sheetFormatPr defaultRowHeight="12.75" x14ac:dyDescent="0.2"/>
  <cols>
    <col min="1" max="1" width="6.28515625" style="109" bestFit="1" customWidth="1"/>
    <col min="2" max="2" width="16.140625" style="13" bestFit="1" customWidth="1"/>
    <col min="3" max="3" width="8.140625" style="109" customWidth="1"/>
    <col min="4" max="4" width="21.42578125" style="109" customWidth="1"/>
    <col min="5" max="5" width="29.140625" style="109" bestFit="1" customWidth="1"/>
    <col min="6" max="6" width="9.5703125" style="156" customWidth="1"/>
    <col min="7" max="7" width="5.42578125" style="156" customWidth="1"/>
    <col min="8" max="8" width="11.85546875" style="109" customWidth="1"/>
    <col min="9" max="9" width="29.140625" style="109" bestFit="1" customWidth="1"/>
    <col min="10" max="16384" width="9.140625" style="13"/>
  </cols>
  <sheetData>
    <row r="1" spans="1:10" x14ac:dyDescent="0.2">
      <c r="A1" s="111" t="s">
        <v>261</v>
      </c>
      <c r="B1" s="130" t="s">
        <v>262</v>
      </c>
      <c r="C1" s="111" t="s">
        <v>263</v>
      </c>
      <c r="H1" s="111" t="s">
        <v>264</v>
      </c>
      <c r="I1" s="111"/>
    </row>
    <row r="2" spans="1:10" x14ac:dyDescent="0.2">
      <c r="A2" s="112">
        <v>1</v>
      </c>
      <c r="B2" s="108" t="s">
        <v>265</v>
      </c>
      <c r="C2" s="110">
        <v>0.4375</v>
      </c>
      <c r="D2" s="110" t="s">
        <v>266</v>
      </c>
      <c r="E2" s="110" t="s">
        <v>267</v>
      </c>
      <c r="G2" s="156">
        <v>6</v>
      </c>
      <c r="H2" s="110" t="s">
        <v>268</v>
      </c>
      <c r="I2" s="110" t="s">
        <v>269</v>
      </c>
    </row>
    <row r="3" spans="1:10" x14ac:dyDescent="0.2">
      <c r="A3" s="112">
        <v>2</v>
      </c>
      <c r="B3" s="108" t="s">
        <v>270</v>
      </c>
      <c r="C3" s="110">
        <v>0.44791666666666669</v>
      </c>
      <c r="D3" s="110" t="s">
        <v>266</v>
      </c>
      <c r="E3" s="110" t="s">
        <v>267</v>
      </c>
      <c r="G3" s="156">
        <v>6</v>
      </c>
      <c r="H3" s="110" t="s">
        <v>271</v>
      </c>
      <c r="I3" s="110"/>
    </row>
    <row r="4" spans="1:10" x14ac:dyDescent="0.2">
      <c r="A4" s="112">
        <v>3</v>
      </c>
      <c r="B4" s="13" t="s">
        <v>272</v>
      </c>
      <c r="C4" s="110">
        <v>0.45833333333333331</v>
      </c>
      <c r="D4" s="110" t="s">
        <v>266</v>
      </c>
      <c r="E4" s="110" t="s">
        <v>267</v>
      </c>
      <c r="G4" s="156">
        <v>6</v>
      </c>
      <c r="H4" s="110" t="s">
        <v>273</v>
      </c>
      <c r="I4" s="110"/>
    </row>
    <row r="5" spans="1:10" x14ac:dyDescent="0.2">
      <c r="A5" s="112">
        <v>4</v>
      </c>
      <c r="B5" s="13" t="s">
        <v>274</v>
      </c>
      <c r="C5" s="110">
        <v>0.46875</v>
      </c>
      <c r="D5" s="110" t="s">
        <v>266</v>
      </c>
      <c r="E5" s="110" t="s">
        <v>267</v>
      </c>
      <c r="G5" s="156">
        <v>6</v>
      </c>
      <c r="H5" s="110" t="s">
        <v>275</v>
      </c>
      <c r="I5" s="110" t="s">
        <v>276</v>
      </c>
    </row>
    <row r="6" spans="1:10" x14ac:dyDescent="0.2">
      <c r="A6" s="112">
        <v>5</v>
      </c>
      <c r="B6" s="108" t="s">
        <v>277</v>
      </c>
      <c r="C6" s="110">
        <v>0.47916666666666669</v>
      </c>
      <c r="D6" s="110" t="s">
        <v>266</v>
      </c>
      <c r="E6" s="110" t="s">
        <v>267</v>
      </c>
      <c r="G6" s="156">
        <v>6</v>
      </c>
      <c r="H6" s="110" t="s">
        <v>271</v>
      </c>
      <c r="I6" s="110"/>
    </row>
    <row r="7" spans="1:10" x14ac:dyDescent="0.2">
      <c r="A7" s="112">
        <v>6</v>
      </c>
      <c r="B7" s="108" t="s">
        <v>278</v>
      </c>
      <c r="C7" s="110">
        <v>0.48958333333333331</v>
      </c>
      <c r="D7" s="110" t="s">
        <v>266</v>
      </c>
      <c r="E7" s="110" t="s">
        <v>267</v>
      </c>
      <c r="G7" s="156">
        <v>6</v>
      </c>
      <c r="H7" s="110" t="s">
        <v>279</v>
      </c>
      <c r="I7" s="110"/>
    </row>
    <row r="8" spans="1:10" x14ac:dyDescent="0.2">
      <c r="A8" s="112">
        <v>7</v>
      </c>
      <c r="B8" s="13" t="s">
        <v>280</v>
      </c>
      <c r="C8" s="110">
        <v>0.5</v>
      </c>
      <c r="D8" s="110" t="s">
        <v>266</v>
      </c>
      <c r="E8" s="110" t="s">
        <v>267</v>
      </c>
      <c r="G8" s="156">
        <v>6</v>
      </c>
      <c r="H8" s="110" t="s">
        <v>275</v>
      </c>
      <c r="I8" s="110"/>
    </row>
    <row r="9" spans="1:10" x14ac:dyDescent="0.2">
      <c r="A9" s="112">
        <v>8</v>
      </c>
      <c r="B9" s="13" t="s">
        <v>281</v>
      </c>
      <c r="C9" s="110">
        <v>0.51041666666666663</v>
      </c>
      <c r="D9" s="110" t="s">
        <v>266</v>
      </c>
      <c r="E9" s="110" t="s">
        <v>267</v>
      </c>
      <c r="G9" s="156">
        <v>6</v>
      </c>
      <c r="H9" s="110" t="s">
        <v>282</v>
      </c>
      <c r="I9" s="110" t="s">
        <v>283</v>
      </c>
    </row>
    <row r="10" spans="1:10" x14ac:dyDescent="0.2">
      <c r="A10" s="112">
        <v>9</v>
      </c>
      <c r="B10" s="108" t="s">
        <v>284</v>
      </c>
      <c r="C10" s="110">
        <v>0.52083333333333337</v>
      </c>
      <c r="D10" s="110" t="s">
        <v>266</v>
      </c>
      <c r="E10" s="109" t="s">
        <v>55</v>
      </c>
      <c r="G10" s="156">
        <v>6</v>
      </c>
      <c r="H10" s="110" t="s">
        <v>285</v>
      </c>
      <c r="I10" s="110"/>
    </row>
    <row r="11" spans="1:10" x14ac:dyDescent="0.2">
      <c r="A11" s="112">
        <v>10</v>
      </c>
      <c r="B11" s="108" t="s">
        <v>286</v>
      </c>
      <c r="C11" s="110">
        <v>0.53125</v>
      </c>
      <c r="D11" s="110" t="s">
        <v>266</v>
      </c>
      <c r="E11" s="109" t="s">
        <v>55</v>
      </c>
      <c r="G11" s="156">
        <v>2</v>
      </c>
      <c r="H11" s="110" t="s">
        <v>287</v>
      </c>
      <c r="I11" s="110" t="s">
        <v>288</v>
      </c>
      <c r="J11" s="112"/>
    </row>
    <row r="12" spans="1:10" x14ac:dyDescent="0.2">
      <c r="A12" s="112">
        <v>11</v>
      </c>
      <c r="B12" s="13" t="s">
        <v>289</v>
      </c>
      <c r="C12" s="110">
        <v>0.54166666666666663</v>
      </c>
      <c r="D12" s="110" t="s">
        <v>266</v>
      </c>
      <c r="E12" s="110" t="s">
        <v>267</v>
      </c>
      <c r="G12" s="156">
        <v>6</v>
      </c>
      <c r="H12" s="110"/>
      <c r="I12" s="110"/>
      <c r="J12" s="112"/>
    </row>
    <row r="13" spans="1:10" x14ac:dyDescent="0.2">
      <c r="A13" s="112">
        <v>12</v>
      </c>
      <c r="B13" s="13" t="s">
        <v>290</v>
      </c>
      <c r="C13" s="110">
        <v>0.55208333333333337</v>
      </c>
      <c r="D13" s="110" t="s">
        <v>266</v>
      </c>
      <c r="E13" s="110" t="s">
        <v>267</v>
      </c>
      <c r="G13" s="156">
        <v>6</v>
      </c>
      <c r="H13" s="110" t="s">
        <v>268</v>
      </c>
      <c r="I13" s="110"/>
      <c r="J13" s="112"/>
    </row>
    <row r="14" spans="1:10" x14ac:dyDescent="0.2">
      <c r="A14" s="112">
        <v>13</v>
      </c>
      <c r="B14" s="108" t="s">
        <v>291</v>
      </c>
      <c r="C14" s="110">
        <v>0.5625</v>
      </c>
      <c r="D14" s="110" t="s">
        <v>335</v>
      </c>
      <c r="E14" s="110" t="s">
        <v>55</v>
      </c>
      <c r="G14" s="156">
        <v>4</v>
      </c>
      <c r="H14" s="110" t="s">
        <v>271</v>
      </c>
      <c r="I14" s="110" t="s">
        <v>293</v>
      </c>
      <c r="J14" s="112"/>
    </row>
    <row r="15" spans="1:10" x14ac:dyDescent="0.2">
      <c r="A15" s="112">
        <v>14</v>
      </c>
      <c r="B15" s="108" t="s">
        <v>294</v>
      </c>
      <c r="C15" s="110">
        <v>0.57291666666666663</v>
      </c>
      <c r="D15" s="110" t="s">
        <v>335</v>
      </c>
      <c r="E15" s="110" t="s">
        <v>55</v>
      </c>
      <c r="G15" s="156">
        <v>4</v>
      </c>
      <c r="H15" s="110" t="s">
        <v>273</v>
      </c>
      <c r="I15" s="110"/>
      <c r="J15" s="112"/>
    </row>
    <row r="16" spans="1:10" x14ac:dyDescent="0.2">
      <c r="A16" s="112">
        <v>15</v>
      </c>
      <c r="B16" s="13" t="s">
        <v>295</v>
      </c>
      <c r="C16" s="110">
        <v>0.58333333333333337</v>
      </c>
      <c r="D16" s="110" t="s">
        <v>335</v>
      </c>
      <c r="E16" s="110" t="s">
        <v>292</v>
      </c>
      <c r="F16" s="156">
        <v>6</v>
      </c>
      <c r="G16" s="156">
        <v>6</v>
      </c>
      <c r="H16" s="110" t="s">
        <v>275</v>
      </c>
      <c r="I16" s="110"/>
      <c r="J16" s="112"/>
    </row>
    <row r="17" spans="1:10" x14ac:dyDescent="0.2">
      <c r="A17" s="112">
        <v>16</v>
      </c>
      <c r="B17" s="13" t="s">
        <v>296</v>
      </c>
      <c r="C17" s="110">
        <v>0.59375</v>
      </c>
      <c r="D17" s="110" t="s">
        <v>335</v>
      </c>
      <c r="E17" s="110" t="s">
        <v>292</v>
      </c>
      <c r="F17" s="156">
        <v>6</v>
      </c>
      <c r="G17" s="156">
        <v>6</v>
      </c>
      <c r="H17" s="110" t="s">
        <v>271</v>
      </c>
      <c r="I17" s="110" t="s">
        <v>298</v>
      </c>
      <c r="J17" s="112"/>
    </row>
    <row r="18" spans="1:10" x14ac:dyDescent="0.2">
      <c r="A18" s="112">
        <v>17</v>
      </c>
      <c r="B18" s="108" t="s">
        <v>299</v>
      </c>
      <c r="C18" s="110">
        <v>0.60416666666666663</v>
      </c>
      <c r="D18" s="110" t="s">
        <v>335</v>
      </c>
      <c r="E18" s="110" t="s">
        <v>311</v>
      </c>
      <c r="F18" s="156">
        <v>6</v>
      </c>
      <c r="G18" s="156">
        <v>6</v>
      </c>
      <c r="H18" s="110" t="s">
        <v>279</v>
      </c>
      <c r="I18" s="110"/>
    </row>
    <row r="19" spans="1:10" x14ac:dyDescent="0.2">
      <c r="A19" s="112">
        <v>18</v>
      </c>
      <c r="B19" s="108" t="s">
        <v>300</v>
      </c>
      <c r="C19" s="110">
        <v>0.61458333333333337</v>
      </c>
      <c r="D19" s="110" t="s">
        <v>335</v>
      </c>
      <c r="E19" s="110" t="s">
        <v>312</v>
      </c>
      <c r="F19" s="156" t="s">
        <v>302</v>
      </c>
      <c r="G19" s="156">
        <v>6</v>
      </c>
      <c r="H19" s="110" t="s">
        <v>275</v>
      </c>
      <c r="I19" s="110"/>
    </row>
    <row r="20" spans="1:10" x14ac:dyDescent="0.2">
      <c r="A20" s="112">
        <v>19</v>
      </c>
      <c r="B20" s="13" t="s">
        <v>440</v>
      </c>
      <c r="C20" s="110">
        <v>0.625</v>
      </c>
      <c r="D20" s="110" t="s">
        <v>335</v>
      </c>
      <c r="E20" s="110" t="s">
        <v>313</v>
      </c>
      <c r="F20" s="156" t="s">
        <v>297</v>
      </c>
      <c r="G20" s="156">
        <v>6</v>
      </c>
      <c r="H20" s="110" t="s">
        <v>282</v>
      </c>
      <c r="I20" s="110" t="s">
        <v>301</v>
      </c>
    </row>
    <row r="21" spans="1:10" x14ac:dyDescent="0.2">
      <c r="A21" s="112">
        <v>20</v>
      </c>
      <c r="B21" s="13" t="s">
        <v>441</v>
      </c>
      <c r="C21" s="110">
        <v>0.63541666666666663</v>
      </c>
      <c r="D21" s="110" t="s">
        <v>335</v>
      </c>
      <c r="E21" s="109" t="s">
        <v>292</v>
      </c>
      <c r="F21" s="156">
        <v>6</v>
      </c>
      <c r="G21" s="156">
        <v>6</v>
      </c>
      <c r="H21" s="110" t="s">
        <v>285</v>
      </c>
      <c r="I21" s="110"/>
    </row>
    <row r="22" spans="1:10" x14ac:dyDescent="0.2">
      <c r="A22" s="112">
        <v>21</v>
      </c>
      <c r="B22" s="108" t="s">
        <v>442</v>
      </c>
      <c r="C22" s="110">
        <v>0.64583333333333337</v>
      </c>
      <c r="D22" s="110" t="s">
        <v>335</v>
      </c>
      <c r="E22" s="109" t="s">
        <v>314</v>
      </c>
      <c r="F22" s="156" t="s">
        <v>297</v>
      </c>
      <c r="G22" s="156">
        <v>6</v>
      </c>
      <c r="H22" s="110" t="s">
        <v>287</v>
      </c>
      <c r="I22" s="110"/>
    </row>
    <row r="23" spans="1:10" x14ac:dyDescent="0.2">
      <c r="A23" s="112">
        <v>22</v>
      </c>
      <c r="B23" s="108" t="s">
        <v>443</v>
      </c>
      <c r="C23" s="110">
        <v>0.65625</v>
      </c>
      <c r="D23" s="110" t="s">
        <v>335</v>
      </c>
      <c r="E23" s="110" t="s">
        <v>311</v>
      </c>
      <c r="F23" s="156">
        <v>6</v>
      </c>
      <c r="G23" s="156">
        <v>6</v>
      </c>
    </row>
    <row r="24" spans="1:10" x14ac:dyDescent="0.2">
      <c r="A24" s="112">
        <v>23</v>
      </c>
      <c r="B24" s="108" t="s">
        <v>444</v>
      </c>
      <c r="C24" s="110">
        <v>0.66666666666666663</v>
      </c>
      <c r="D24" s="110" t="s">
        <v>335</v>
      </c>
      <c r="E24" s="110" t="s">
        <v>55</v>
      </c>
      <c r="F24" s="156">
        <v>6</v>
      </c>
      <c r="G24" s="156">
        <v>6</v>
      </c>
      <c r="H24" s="110"/>
      <c r="I24" s="110"/>
    </row>
    <row r="25" spans="1:10" x14ac:dyDescent="0.2">
      <c r="A25" s="112">
        <v>24</v>
      </c>
      <c r="B25" s="108" t="s">
        <v>445</v>
      </c>
      <c r="C25" s="110">
        <v>0.67708333333333337</v>
      </c>
      <c r="D25" s="110" t="s">
        <v>335</v>
      </c>
      <c r="E25" s="110" t="s">
        <v>313</v>
      </c>
      <c r="F25" s="156" t="s">
        <v>302</v>
      </c>
      <c r="G25" s="156">
        <v>6</v>
      </c>
    </row>
    <row r="26" spans="1:10" x14ac:dyDescent="0.2">
      <c r="A26" s="112">
        <v>25</v>
      </c>
      <c r="B26" s="108" t="s">
        <v>446</v>
      </c>
      <c r="C26" s="110">
        <v>0.6875</v>
      </c>
      <c r="D26" s="110" t="s">
        <v>335</v>
      </c>
      <c r="E26" s="110" t="s">
        <v>292</v>
      </c>
      <c r="F26" s="156">
        <v>6</v>
      </c>
      <c r="G26" s="156">
        <v>6</v>
      </c>
    </row>
    <row r="27" spans="1:10" x14ac:dyDescent="0.2">
      <c r="A27" s="112">
        <v>26</v>
      </c>
      <c r="B27" s="108" t="s">
        <v>447</v>
      </c>
      <c r="C27" s="110">
        <v>0.69791666666666663</v>
      </c>
      <c r="D27" s="109" t="s">
        <v>303</v>
      </c>
      <c r="E27" s="110" t="s">
        <v>314</v>
      </c>
      <c r="F27" s="156" t="s">
        <v>302</v>
      </c>
      <c r="G27" s="156">
        <v>6</v>
      </c>
    </row>
    <row r="28" spans="1:10" x14ac:dyDescent="0.2">
      <c r="A28" s="112">
        <v>27</v>
      </c>
      <c r="B28" s="108" t="s">
        <v>448</v>
      </c>
      <c r="C28" s="110">
        <v>0.71180555555555547</v>
      </c>
      <c r="D28" s="109" t="s">
        <v>303</v>
      </c>
      <c r="E28" s="110" t="s">
        <v>341</v>
      </c>
      <c r="F28" s="156" t="s">
        <v>297</v>
      </c>
      <c r="G28" s="156">
        <v>6</v>
      </c>
    </row>
    <row r="29" spans="1:10" x14ac:dyDescent="0.2">
      <c r="A29" s="112">
        <v>28</v>
      </c>
      <c r="B29" s="108" t="s">
        <v>449</v>
      </c>
      <c r="C29" s="110">
        <v>0.72569444444444453</v>
      </c>
      <c r="D29" s="109" t="s">
        <v>303</v>
      </c>
      <c r="E29" s="110" t="s">
        <v>342</v>
      </c>
      <c r="F29" s="156">
        <v>4</v>
      </c>
      <c r="G29" s="156">
        <v>4</v>
      </c>
    </row>
    <row r="30" spans="1:10" x14ac:dyDescent="0.2">
      <c r="A30" s="112">
        <v>29</v>
      </c>
      <c r="B30" s="108" t="s">
        <v>318</v>
      </c>
      <c r="C30" s="110">
        <v>0.73958333333333337</v>
      </c>
      <c r="D30" s="109" t="s">
        <v>303</v>
      </c>
      <c r="E30" s="110" t="s">
        <v>316</v>
      </c>
      <c r="F30" s="156" t="s">
        <v>304</v>
      </c>
      <c r="G30" s="156">
        <v>4</v>
      </c>
    </row>
    <row r="31" spans="1:10" x14ac:dyDescent="0.2">
      <c r="A31" s="112">
        <v>30</v>
      </c>
      <c r="B31" s="108" t="s">
        <v>348</v>
      </c>
      <c r="C31" s="110">
        <v>0.75347222222222221</v>
      </c>
      <c r="E31" s="110" t="s">
        <v>317</v>
      </c>
      <c r="F31" s="156" t="s">
        <v>334</v>
      </c>
      <c r="G31" s="156">
        <v>2</v>
      </c>
    </row>
    <row r="32" spans="1:10" x14ac:dyDescent="0.2">
      <c r="A32" s="112">
        <v>31</v>
      </c>
      <c r="B32" s="108"/>
      <c r="C32" s="110"/>
      <c r="E32" s="109" t="s">
        <v>315</v>
      </c>
      <c r="F32" s="156">
        <v>1</v>
      </c>
      <c r="G32" s="156">
        <v>1</v>
      </c>
    </row>
    <row r="33" spans="1:38" x14ac:dyDescent="0.2">
      <c r="A33" s="112">
        <v>32</v>
      </c>
      <c r="G33" s="111">
        <f>SUM(G2:G32)</f>
        <v>165</v>
      </c>
      <c r="H33"/>
      <c r="I33" s="13"/>
      <c r="J33" s="131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</row>
    <row r="34" spans="1:38" x14ac:dyDescent="0.2">
      <c r="E34"/>
      <c r="F34" s="157"/>
      <c r="G34" s="157"/>
      <c r="H34" s="131"/>
      <c r="I34" s="13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</row>
    <row r="35" spans="1:38" x14ac:dyDescent="0.2">
      <c r="E35"/>
      <c r="F35" s="157"/>
      <c r="G35" s="157"/>
      <c r="H35"/>
      <c r="I35" s="13"/>
      <c r="J35" s="131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</row>
    <row r="36" spans="1:38" x14ac:dyDescent="0.2">
      <c r="E36"/>
      <c r="F36" s="157"/>
      <c r="G36" s="157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</row>
    <row r="37" spans="1:38" x14ac:dyDescent="0.2">
      <c r="A37" s="111" t="s">
        <v>305</v>
      </c>
      <c r="B37"/>
      <c r="C37"/>
      <c r="D37"/>
      <c r="E37"/>
      <c r="F37" s="157"/>
      <c r="G37" s="15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</row>
    <row r="38" spans="1:38" x14ac:dyDescent="0.2">
      <c r="A38" s="109" t="s">
        <v>319</v>
      </c>
      <c r="B38"/>
      <c r="C38"/>
      <c r="D38"/>
      <c r="E38"/>
      <c r="F38" s="157"/>
      <c r="G38" s="157"/>
      <c r="H38"/>
      <c r="I38" s="13"/>
      <c r="J38" s="131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</row>
    <row r="39" spans="1:38" x14ac:dyDescent="0.2">
      <c r="A39" s="131"/>
      <c r="B39"/>
      <c r="C39"/>
      <c r="D39"/>
      <c r="E39"/>
      <c r="F39" s="157"/>
      <c r="G39" s="15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</row>
    <row r="40" spans="1:38" x14ac:dyDescent="0.2">
      <c r="A40" s="111" t="s">
        <v>306</v>
      </c>
      <c r="B40"/>
      <c r="C40"/>
      <c r="D40"/>
      <c r="E40"/>
      <c r="F40" s="157"/>
      <c r="G40" s="15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</row>
    <row r="41" spans="1:38" x14ac:dyDescent="0.2">
      <c r="A41" s="109" t="s">
        <v>320</v>
      </c>
      <c r="B41"/>
      <c r="C41"/>
      <c r="D41"/>
      <c r="E41" s="131"/>
      <c r="F41" s="158"/>
      <c r="G41" s="158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</row>
    <row r="42" spans="1:38" x14ac:dyDescent="0.2">
      <c r="A42" s="131"/>
      <c r="B42"/>
      <c r="C42"/>
      <c r="D42"/>
      <c r="E42"/>
      <c r="F42" s="157"/>
      <c r="G42" s="157"/>
      <c r="H42" s="131"/>
      <c r="I42" s="159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</row>
    <row r="43" spans="1:38" x14ac:dyDescent="0.2">
      <c r="A43" s="111" t="s">
        <v>307</v>
      </c>
      <c r="B43"/>
      <c r="C43"/>
      <c r="D43"/>
      <c r="E43"/>
      <c r="F43" s="157"/>
      <c r="G43" s="15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</row>
    <row r="44" spans="1:38" x14ac:dyDescent="0.2">
      <c r="A44" s="109" t="s">
        <v>336</v>
      </c>
      <c r="B44"/>
      <c r="C44"/>
      <c r="D44"/>
      <c r="E44"/>
      <c r="F44" s="157"/>
      <c r="G44" s="157"/>
      <c r="H44"/>
      <c r="I44" s="13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</row>
    <row r="45" spans="1:38" x14ac:dyDescent="0.2">
      <c r="A45" s="131"/>
      <c r="B45"/>
      <c r="C45"/>
      <c r="D45" s="131"/>
      <c r="E45"/>
      <c r="F45" s="157"/>
      <c r="G45" s="157"/>
      <c r="H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38" x14ac:dyDescent="0.2">
      <c r="A46" s="111" t="s">
        <v>308</v>
      </c>
      <c r="C46"/>
      <c r="D46"/>
      <c r="E46"/>
      <c r="F46" s="157"/>
      <c r="G46" s="157"/>
      <c r="H46"/>
      <c r="J46" s="131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38" x14ac:dyDescent="0.2">
      <c r="A47" s="112">
        <v>1</v>
      </c>
      <c r="B47" t="s">
        <v>309</v>
      </c>
      <c r="C47"/>
      <c r="D47"/>
      <c r="E47" s="131"/>
      <c r="F47" s="158"/>
      <c r="G47" s="158"/>
      <c r="H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38" x14ac:dyDescent="0.2">
      <c r="A48" s="112">
        <v>2</v>
      </c>
      <c r="B48" t="s">
        <v>321</v>
      </c>
      <c r="C48"/>
      <c r="D48"/>
      <c r="E48"/>
      <c r="F48" s="157"/>
      <c r="G48" s="157"/>
      <c r="H48"/>
      <c r="I48" s="13"/>
      <c r="J48" s="131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38" x14ac:dyDescent="0.2">
      <c r="A49" s="112">
        <v>3</v>
      </c>
      <c r="B49" t="s">
        <v>322</v>
      </c>
      <c r="C49"/>
      <c r="D49"/>
      <c r="E49"/>
      <c r="F49" s="157"/>
      <c r="G49" s="157"/>
      <c r="H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38" x14ac:dyDescent="0.2">
      <c r="A50" s="112">
        <v>4</v>
      </c>
      <c r="B50" t="s">
        <v>323</v>
      </c>
      <c r="C50"/>
      <c r="D50"/>
      <c r="E50"/>
      <c r="F50" s="157"/>
      <c r="G50" s="157"/>
      <c r="H50" s="13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</row>
    <row r="51" spans="1:38" x14ac:dyDescent="0.2">
      <c r="A51" s="112">
        <v>5</v>
      </c>
      <c r="B51" t="s">
        <v>324</v>
      </c>
      <c r="C51"/>
      <c r="D51" s="131"/>
      <c r="E51"/>
      <c r="F51" s="157"/>
      <c r="G51" s="157"/>
      <c r="H51"/>
      <c r="I51" s="13"/>
      <c r="J51" s="13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</row>
    <row r="52" spans="1:38" x14ac:dyDescent="0.2">
      <c r="A52" s="112">
        <v>6</v>
      </c>
      <c r="B52" t="s">
        <v>325</v>
      </c>
      <c r="C52"/>
      <c r="D52"/>
      <c r="E52"/>
      <c r="F52" s="157"/>
      <c r="G52" s="157"/>
      <c r="H52"/>
      <c r="I52" s="13"/>
      <c r="J52" s="131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</row>
    <row r="53" spans="1:38" x14ac:dyDescent="0.2">
      <c r="A53" s="112">
        <v>7</v>
      </c>
      <c r="B53" t="s">
        <v>331</v>
      </c>
      <c r="C53"/>
      <c r="D53"/>
      <c r="E53"/>
      <c r="F53" s="157"/>
      <c r="G53" s="157"/>
      <c r="H53"/>
      <c r="I53"/>
      <c r="J53" s="131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</row>
    <row r="54" spans="1:38" x14ac:dyDescent="0.2">
      <c r="A54" s="112">
        <v>8</v>
      </c>
      <c r="B54" t="s">
        <v>332</v>
      </c>
      <c r="C54"/>
      <c r="D54"/>
      <c r="E54"/>
      <c r="F54" s="157"/>
      <c r="G54" s="157"/>
      <c r="H54"/>
      <c r="I54" s="131"/>
      <c r="J54" s="131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</row>
    <row r="55" spans="1:38" x14ac:dyDescent="0.2">
      <c r="A55" s="112">
        <v>9</v>
      </c>
      <c r="B55" t="s">
        <v>333</v>
      </c>
      <c r="C55"/>
      <c r="D55"/>
      <c r="E55"/>
      <c r="F55" s="157"/>
      <c r="G55" s="157"/>
      <c r="H55"/>
      <c r="I55" s="13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</row>
    <row r="56" spans="1:38" x14ac:dyDescent="0.2">
      <c r="A56" s="112">
        <v>10</v>
      </c>
      <c r="B56" t="s">
        <v>326</v>
      </c>
      <c r="C56"/>
      <c r="D56"/>
      <c r="E56"/>
      <c r="F56" s="157"/>
      <c r="G56" s="157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</row>
    <row r="57" spans="1:38" x14ac:dyDescent="0.2">
      <c r="A57" s="112">
        <v>11</v>
      </c>
      <c r="B57" t="s">
        <v>327</v>
      </c>
      <c r="C57"/>
      <c r="D57"/>
      <c r="E57"/>
      <c r="F57" s="157"/>
      <c r="G57" s="157"/>
      <c r="H57"/>
      <c r="I57"/>
      <c r="J57" s="131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</row>
    <row r="58" spans="1:38" x14ac:dyDescent="0.2">
      <c r="A58" s="112">
        <v>12</v>
      </c>
      <c r="B58" t="s">
        <v>328</v>
      </c>
      <c r="C58"/>
      <c r="D58"/>
      <c r="E58"/>
      <c r="F58" s="157"/>
      <c r="G58" s="157"/>
      <c r="H58"/>
      <c r="I58"/>
      <c r="J58" s="131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</row>
    <row r="59" spans="1:38" x14ac:dyDescent="0.2">
      <c r="A59" s="112">
        <v>13</v>
      </c>
      <c r="B59" t="s">
        <v>329</v>
      </c>
      <c r="C59"/>
      <c r="D59"/>
      <c r="E59"/>
      <c r="F59" s="157"/>
      <c r="G59" s="157"/>
      <c r="H59"/>
      <c r="I59"/>
      <c r="J59" s="131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</row>
    <row r="60" spans="1:38" x14ac:dyDescent="0.2">
      <c r="A60" s="112">
        <v>14</v>
      </c>
      <c r="B60" t="s">
        <v>330</v>
      </c>
      <c r="C60"/>
      <c r="D60"/>
      <c r="E60"/>
      <c r="F60" s="157"/>
      <c r="G60" s="157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</row>
    <row r="61" spans="1:38" x14ac:dyDescent="0.2">
      <c r="A61" s="13"/>
      <c r="B61"/>
      <c r="C61"/>
      <c r="D61"/>
      <c r="E61"/>
      <c r="F61" s="157"/>
      <c r="G61" s="157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</row>
    <row r="62" spans="1:38" x14ac:dyDescent="0.2">
      <c r="A62" s="13"/>
      <c r="B62"/>
      <c r="C62"/>
      <c r="D62"/>
      <c r="E62"/>
      <c r="F62" s="157"/>
      <c r="G62" s="157"/>
      <c r="H62"/>
      <c r="I62"/>
      <c r="J62" s="131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</row>
    <row r="63" spans="1:38" x14ac:dyDescent="0.2">
      <c r="A63" s="13"/>
      <c r="B63"/>
      <c r="C63"/>
      <c r="D63"/>
      <c r="E63"/>
      <c r="F63" s="157"/>
      <c r="G63" s="157"/>
      <c r="H63"/>
      <c r="I63"/>
      <c r="J63"/>
      <c r="K63"/>
      <c r="L63"/>
      <c r="M63"/>
      <c r="N63" s="131"/>
      <c r="O63"/>
      <c r="P63"/>
      <c r="Q63" s="131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</row>
    <row r="64" spans="1:38" x14ac:dyDescent="0.2">
      <c r="A64" s="13"/>
      <c r="B64"/>
      <c r="C64"/>
      <c r="D64"/>
      <c r="E64"/>
      <c r="F64" s="157"/>
      <c r="G64" s="157"/>
      <c r="H64"/>
      <c r="I64"/>
      <c r="J64"/>
      <c r="K64"/>
      <c r="L64" s="131"/>
      <c r="M64"/>
      <c r="N64"/>
      <c r="O64"/>
      <c r="P64"/>
      <c r="Q64"/>
      <c r="R64" s="131"/>
      <c r="S64"/>
      <c r="T64"/>
      <c r="U64" s="131"/>
      <c r="V64"/>
      <c r="W64"/>
      <c r="X64"/>
      <c r="Y64"/>
      <c r="Z64"/>
      <c r="AA64" s="131"/>
      <c r="AB64"/>
      <c r="AC64"/>
      <c r="AD64" s="131"/>
      <c r="AE64"/>
      <c r="AF64"/>
      <c r="AG64"/>
      <c r="AH64"/>
      <c r="AI64"/>
      <c r="AJ64" s="131"/>
      <c r="AK64"/>
      <c r="AL64" s="131"/>
    </row>
    <row r="65" spans="1:38" x14ac:dyDescent="0.2">
      <c r="A65" s="13"/>
      <c r="B65"/>
      <c r="C65"/>
      <c r="D65"/>
      <c r="E65"/>
      <c r="F65" s="157"/>
      <c r="G65" s="157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</row>
    <row r="66" spans="1:38" x14ac:dyDescent="0.2">
      <c r="A66" s="13"/>
      <c r="B66"/>
      <c r="C66"/>
      <c r="D66"/>
      <c r="E66"/>
      <c r="F66" s="157"/>
      <c r="G66" s="157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</row>
    <row r="67" spans="1:38" x14ac:dyDescent="0.2">
      <c r="A67" s="13"/>
      <c r="B67"/>
      <c r="C67"/>
      <c r="D67"/>
      <c r="E67"/>
      <c r="F67" s="157"/>
      <c r="G67" s="15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</row>
    <row r="68" spans="1:38" x14ac:dyDescent="0.2">
      <c r="A68" s="13"/>
    </row>
    <row r="69" spans="1:38" x14ac:dyDescent="0.2">
      <c r="A69" s="13"/>
    </row>
    <row r="70" spans="1:38" x14ac:dyDescent="0.2">
      <c r="A70" s="13"/>
    </row>
    <row r="71" spans="1:38" x14ac:dyDescent="0.2">
      <c r="A71" s="13"/>
    </row>
    <row r="72" spans="1:38" x14ac:dyDescent="0.2">
      <c r="A72" s="13"/>
    </row>
    <row r="73" spans="1:38" x14ac:dyDescent="0.2">
      <c r="A73" s="13"/>
    </row>
    <row r="74" spans="1:38" x14ac:dyDescent="0.2">
      <c r="A74" s="13"/>
    </row>
    <row r="75" spans="1:38" x14ac:dyDescent="0.2">
      <c r="A75" s="13"/>
    </row>
    <row r="76" spans="1:38" x14ac:dyDescent="0.2">
      <c r="A76" s="13"/>
    </row>
    <row r="77" spans="1:38" x14ac:dyDescent="0.2">
      <c r="A77" s="13"/>
    </row>
    <row r="78" spans="1:38" x14ac:dyDescent="0.2">
      <c r="A78" s="13"/>
    </row>
  </sheetData>
  <phoneticPr fontId="0" type="noConversion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workbookViewId="0">
      <selection activeCell="D5" sqref="D5"/>
    </sheetView>
  </sheetViews>
  <sheetFormatPr defaultRowHeight="12.75" x14ac:dyDescent="0.2"/>
  <cols>
    <col min="1" max="1" width="20.5703125" customWidth="1"/>
    <col min="2" max="8" width="16.85546875" customWidth="1"/>
    <col min="9" max="9" width="14.7109375" customWidth="1"/>
  </cols>
  <sheetData>
    <row r="1" spans="1:8" ht="63" customHeight="1" x14ac:dyDescent="0.2">
      <c r="B1" s="443"/>
      <c r="C1" s="443"/>
      <c r="D1" s="443"/>
      <c r="E1" s="443"/>
      <c r="F1" s="443"/>
      <c r="G1" s="444" t="s">
        <v>437</v>
      </c>
      <c r="H1" s="444" t="s">
        <v>438</v>
      </c>
    </row>
    <row r="2" spans="1:8" ht="63" customHeight="1" x14ac:dyDescent="0.2">
      <c r="A2" s="443"/>
      <c r="B2" s="440"/>
      <c r="C2" s="441"/>
      <c r="D2" s="441"/>
      <c r="E2" s="441"/>
      <c r="F2" s="441"/>
      <c r="G2" s="443"/>
      <c r="H2" s="443"/>
    </row>
    <row r="3" spans="1:8" ht="63" customHeight="1" x14ac:dyDescent="0.2">
      <c r="A3" s="443"/>
      <c r="B3" s="441"/>
      <c r="C3" s="440"/>
      <c r="D3" s="441"/>
      <c r="E3" s="441"/>
      <c r="F3" s="441"/>
      <c r="G3" s="443"/>
      <c r="H3" s="443"/>
    </row>
    <row r="4" spans="1:8" ht="63" customHeight="1" x14ac:dyDescent="0.2">
      <c r="A4" s="443"/>
      <c r="B4" s="441"/>
      <c r="C4" s="441"/>
      <c r="D4" s="440"/>
      <c r="E4" s="441"/>
      <c r="F4" s="441"/>
      <c r="G4" s="443"/>
      <c r="H4" s="443"/>
    </row>
    <row r="5" spans="1:8" ht="63" customHeight="1" x14ac:dyDescent="0.2">
      <c r="A5" s="443"/>
      <c r="B5" s="441"/>
      <c r="C5" s="441"/>
      <c r="D5" s="441"/>
      <c r="E5" s="440"/>
      <c r="F5" s="441"/>
      <c r="G5" s="443"/>
      <c r="H5" s="443"/>
    </row>
    <row r="6" spans="1:8" ht="63" customHeight="1" x14ac:dyDescent="0.2">
      <c r="A6" s="443"/>
      <c r="B6" s="441"/>
      <c r="C6" s="441"/>
      <c r="D6" s="441"/>
      <c r="E6" s="441"/>
      <c r="F6" s="440"/>
      <c r="G6" s="443"/>
      <c r="H6" s="443"/>
    </row>
    <row r="7" spans="1:8" ht="63" customHeight="1" x14ac:dyDescent="0.2"/>
    <row r="8" spans="1:8" ht="63" customHeight="1" x14ac:dyDescent="0.2">
      <c r="B8" s="443"/>
      <c r="C8" s="443"/>
      <c r="D8" s="443"/>
      <c r="E8" s="443"/>
      <c r="F8" s="443"/>
      <c r="G8" s="442" t="s">
        <v>437</v>
      </c>
      <c r="H8" s="442" t="s">
        <v>438</v>
      </c>
    </row>
    <row r="9" spans="1:8" ht="63" customHeight="1" x14ac:dyDescent="0.2">
      <c r="A9" s="443"/>
      <c r="B9" s="440"/>
      <c r="C9" s="441"/>
      <c r="D9" s="441"/>
      <c r="E9" s="441"/>
      <c r="F9" s="441"/>
      <c r="G9" s="443"/>
      <c r="H9" s="443"/>
    </row>
    <row r="10" spans="1:8" ht="63" customHeight="1" x14ac:dyDescent="0.2">
      <c r="A10" s="443"/>
      <c r="B10" s="441"/>
      <c r="C10" s="440"/>
      <c r="D10" s="441"/>
      <c r="E10" s="441"/>
      <c r="F10" s="441"/>
      <c r="G10" s="443"/>
      <c r="H10" s="443"/>
    </row>
    <row r="11" spans="1:8" ht="63" customHeight="1" x14ac:dyDescent="0.2">
      <c r="A11" s="443"/>
      <c r="B11" s="441"/>
      <c r="C11" s="441"/>
      <c r="D11" s="440"/>
      <c r="E11" s="441"/>
      <c r="F11" s="441"/>
      <c r="G11" s="443"/>
      <c r="H11" s="443"/>
    </row>
    <row r="12" spans="1:8" ht="63" customHeight="1" x14ac:dyDescent="0.2">
      <c r="A12" s="443"/>
      <c r="B12" s="441"/>
      <c r="C12" s="441"/>
      <c r="D12" s="441"/>
      <c r="E12" s="440"/>
      <c r="F12" s="441"/>
      <c r="G12" s="443"/>
      <c r="H12" s="443"/>
    </row>
    <row r="13" spans="1:8" ht="63" customHeight="1" x14ac:dyDescent="0.2">
      <c r="A13" s="443"/>
      <c r="B13" s="441"/>
      <c r="C13" s="441"/>
      <c r="D13" s="441"/>
      <c r="E13" s="441"/>
      <c r="F13" s="440"/>
      <c r="G13" s="443"/>
      <c r="H13" s="443"/>
    </row>
    <row r="14" spans="1:8" ht="63" customHeight="1" x14ac:dyDescent="0.2"/>
    <row r="15" spans="1:8" ht="63" customHeight="1" x14ac:dyDescent="0.2"/>
    <row r="16" spans="1:8" ht="63" customHeight="1" x14ac:dyDescent="0.2"/>
    <row r="17" ht="63" customHeight="1" x14ac:dyDescent="0.2"/>
    <row r="18" ht="63" customHeight="1" x14ac:dyDescent="0.2"/>
  </sheetData>
  <pageMargins left="0.7" right="0.7" top="0.75" bottom="0.75" header="0.3" footer="0.3"/>
  <pageSetup scale="66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18"/>
  <sheetViews>
    <sheetView showGridLines="0" view="pageBreakPreview" topLeftCell="B2" zoomScale="145" zoomScaleNormal="100" zoomScaleSheetLayoutView="145" workbookViewId="0">
      <selection activeCell="AB68" sqref="AB68"/>
    </sheetView>
  </sheetViews>
  <sheetFormatPr defaultRowHeight="12.75" x14ac:dyDescent="0.2"/>
  <cols>
    <col min="1" max="1" width="6" style="1" hidden="1" customWidth="1"/>
    <col min="2" max="2" width="2.140625" customWidth="1"/>
    <col min="3" max="3" width="2.28515625" style="203" customWidth="1"/>
    <col min="4" max="18" width="3" style="203" customWidth="1"/>
    <col min="19" max="28" width="3" customWidth="1"/>
    <col min="29" max="38" width="3" style="1" customWidth="1"/>
    <col min="39" max="39" width="1.28515625" style="1" customWidth="1"/>
    <col min="40" max="44" width="3.42578125" style="1" customWidth="1"/>
    <col min="45" max="45" width="3.5703125" style="1" customWidth="1"/>
    <col min="46" max="47" width="3.5703125" style="1" hidden="1" customWidth="1"/>
    <col min="48" max="50" width="3.28515625" style="1" hidden="1" customWidth="1"/>
    <col min="51" max="52" width="3.28515625" style="1" customWidth="1"/>
  </cols>
  <sheetData>
    <row r="1" spans="1:82" x14ac:dyDescent="0.2">
      <c r="A1" s="202"/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2"/>
      <c r="AD1" s="202"/>
      <c r="AE1" s="202"/>
      <c r="AF1" s="202"/>
      <c r="AG1" s="202"/>
      <c r="AH1" s="202"/>
      <c r="AI1" s="202"/>
      <c r="AJ1" s="202"/>
      <c r="AK1" s="202"/>
      <c r="AL1" s="202"/>
    </row>
    <row r="2" spans="1:82" s="172" customFormat="1" ht="33.75" customHeight="1" x14ac:dyDescent="0.2">
      <c r="A2" s="363"/>
      <c r="B2" s="363"/>
      <c r="C2" s="363"/>
      <c r="D2" s="463" t="str">
        <f>START!A44</f>
        <v>KWALIFICATIE  -  HALVE VELDJES CUP</v>
      </c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63"/>
      <c r="Z2" s="463"/>
      <c r="AA2" s="463"/>
      <c r="AB2" s="463"/>
      <c r="AC2" s="463"/>
      <c r="AD2" s="463"/>
      <c r="AE2" s="463"/>
      <c r="AF2" s="463"/>
      <c r="AG2" s="363"/>
      <c r="AH2" s="363"/>
      <c r="AI2" s="363"/>
      <c r="AJ2" s="363"/>
      <c r="AK2" s="363"/>
      <c r="AL2" s="363"/>
    </row>
    <row r="3" spans="1:82" ht="22.5" customHeight="1" thickBot="1" x14ac:dyDescent="0.25">
      <c r="A3" s="275"/>
      <c r="B3" s="203"/>
      <c r="S3" s="203"/>
      <c r="T3" s="203"/>
      <c r="U3" s="203"/>
      <c r="V3" s="203"/>
      <c r="W3" s="203"/>
      <c r="X3" s="203"/>
      <c r="Y3" s="203"/>
      <c r="Z3" s="203"/>
      <c r="AA3" s="203"/>
      <c r="AB3" s="202"/>
      <c r="AC3" s="202"/>
      <c r="AD3" s="202"/>
      <c r="AE3" s="202"/>
      <c r="AF3" s="202"/>
      <c r="AG3" s="366"/>
      <c r="AH3" s="366"/>
      <c r="AI3" s="202"/>
      <c r="AJ3" s="202"/>
      <c r="AK3" s="202"/>
      <c r="AL3" s="202"/>
    </row>
    <row r="4" spans="1:82" ht="13.5" customHeight="1" thickBot="1" x14ac:dyDescent="0.25">
      <c r="A4" s="470" t="s">
        <v>0</v>
      </c>
      <c r="E4" s="464" t="s">
        <v>1</v>
      </c>
      <c r="F4" s="465"/>
      <c r="G4" s="465"/>
      <c r="H4" s="465"/>
      <c r="I4" s="465"/>
      <c r="J4" s="466"/>
      <c r="L4" s="464" t="s">
        <v>2</v>
      </c>
      <c r="M4" s="465"/>
      <c r="N4" s="465"/>
      <c r="O4" s="465"/>
      <c r="P4" s="465"/>
      <c r="Q4" s="466"/>
      <c r="R4" s="202"/>
      <c r="S4" s="464" t="s">
        <v>3</v>
      </c>
      <c r="T4" s="465"/>
      <c r="U4" s="465"/>
      <c r="V4" s="465"/>
      <c r="W4" s="465"/>
      <c r="X4" s="466"/>
      <c r="Y4" s="202"/>
      <c r="Z4" s="464" t="s">
        <v>4</v>
      </c>
      <c r="AA4" s="465"/>
      <c r="AB4" s="465"/>
      <c r="AC4" s="465"/>
      <c r="AD4" s="465"/>
      <c r="AE4" s="466"/>
      <c r="AG4" s="366"/>
      <c r="AH4" s="378"/>
      <c r="AM4" s="467"/>
      <c r="AN4" s="229"/>
      <c r="AS4" s="229"/>
      <c r="AW4" s="229"/>
    </row>
    <row r="5" spans="1:82" x14ac:dyDescent="0.2">
      <c r="A5" s="470"/>
      <c r="B5" s="1"/>
      <c r="C5" s="202"/>
      <c r="E5" s="420" t="s">
        <v>350</v>
      </c>
      <c r="F5" s="405"/>
      <c r="G5" s="405"/>
      <c r="H5" s="406"/>
      <c r="I5" s="406"/>
      <c r="J5" s="419"/>
      <c r="K5" s="4"/>
      <c r="L5" s="420" t="s">
        <v>353</v>
      </c>
      <c r="M5" s="405"/>
      <c r="N5" s="405"/>
      <c r="O5" s="406"/>
      <c r="P5" s="406"/>
      <c r="Q5" s="419"/>
      <c r="R5" s="202"/>
      <c r="S5" s="420" t="s">
        <v>360</v>
      </c>
      <c r="T5" s="405"/>
      <c r="U5" s="405"/>
      <c r="V5" s="406"/>
      <c r="W5" s="406"/>
      <c r="X5" s="419"/>
      <c r="Y5" s="202"/>
      <c r="Z5" s="420" t="s">
        <v>363</v>
      </c>
      <c r="AA5" s="405"/>
      <c r="AB5" s="405"/>
      <c r="AC5" s="406"/>
      <c r="AD5" s="406"/>
      <c r="AE5" s="419"/>
      <c r="AG5" s="366"/>
      <c r="AH5" s="378"/>
      <c r="AM5" s="467"/>
      <c r="AN5" s="229"/>
      <c r="AR5" s="229"/>
      <c r="AU5" s="229"/>
    </row>
    <row r="6" spans="1:82" x14ac:dyDescent="0.2">
      <c r="A6" s="470"/>
      <c r="B6" s="1"/>
      <c r="C6" s="202"/>
      <c r="E6" s="421" t="s">
        <v>426</v>
      </c>
      <c r="F6" s="414"/>
      <c r="G6" s="414"/>
      <c r="H6" s="402"/>
      <c r="I6" s="402"/>
      <c r="J6" s="183"/>
      <c r="L6" s="421" t="s">
        <v>354</v>
      </c>
      <c r="M6" s="414"/>
      <c r="N6" s="414"/>
      <c r="O6" s="402"/>
      <c r="P6" s="402"/>
      <c r="Q6" s="183"/>
      <c r="R6" s="202"/>
      <c r="S6" s="421" t="s">
        <v>424</v>
      </c>
      <c r="T6" s="414"/>
      <c r="U6" s="414"/>
      <c r="V6" s="402"/>
      <c r="W6" s="402"/>
      <c r="X6" s="183"/>
      <c r="Y6" s="202"/>
      <c r="Z6" s="421" t="s">
        <v>364</v>
      </c>
      <c r="AA6" s="414"/>
      <c r="AB6" s="414"/>
      <c r="AC6" s="402"/>
      <c r="AD6" s="402"/>
      <c r="AE6" s="183"/>
      <c r="AG6" s="366"/>
      <c r="AH6" s="378"/>
      <c r="AM6" s="467"/>
      <c r="AN6" s="229"/>
      <c r="AS6" s="229"/>
      <c r="AW6" s="229"/>
    </row>
    <row r="7" spans="1:82" ht="12.75" customHeight="1" x14ac:dyDescent="0.2">
      <c r="A7" s="470"/>
      <c r="B7" s="1"/>
      <c r="C7" s="202"/>
      <c r="E7" s="421" t="s">
        <v>352</v>
      </c>
      <c r="F7" s="414"/>
      <c r="G7" s="414"/>
      <c r="H7" s="402"/>
      <c r="I7" s="402"/>
      <c r="J7" s="183"/>
      <c r="L7" s="421" t="s">
        <v>355</v>
      </c>
      <c r="M7" s="414"/>
      <c r="N7" s="414"/>
      <c r="O7" s="402"/>
      <c r="P7" s="402"/>
      <c r="Q7" s="183"/>
      <c r="R7" s="202"/>
      <c r="S7" s="421" t="s">
        <v>361</v>
      </c>
      <c r="T7" s="414"/>
      <c r="U7" s="414"/>
      <c r="V7" s="402"/>
      <c r="W7" s="402"/>
      <c r="X7" s="183"/>
      <c r="Y7" s="202"/>
      <c r="Z7" s="421" t="s">
        <v>383</v>
      </c>
      <c r="AA7" s="414"/>
      <c r="AB7" s="414"/>
      <c r="AC7" s="402"/>
      <c r="AD7" s="402"/>
      <c r="AE7" s="183"/>
      <c r="AG7" s="366"/>
      <c r="AH7" s="378"/>
      <c r="AM7" s="467"/>
      <c r="AN7" s="229"/>
      <c r="AT7" s="229"/>
      <c r="AV7" s="229"/>
    </row>
    <row r="8" spans="1:82" ht="12.75" customHeight="1" x14ac:dyDescent="0.2">
      <c r="A8" s="470"/>
      <c r="B8" s="1"/>
      <c r="C8" s="202"/>
      <c r="E8" s="421" t="s">
        <v>421</v>
      </c>
      <c r="F8" s="414"/>
      <c r="G8" s="414"/>
      <c r="H8" s="402"/>
      <c r="I8" s="402"/>
      <c r="J8" s="183"/>
      <c r="L8" s="421" t="s">
        <v>422</v>
      </c>
      <c r="M8" s="414"/>
      <c r="N8" s="414"/>
      <c r="O8" s="402"/>
      <c r="P8" s="402"/>
      <c r="Q8" s="183"/>
      <c r="R8" s="202"/>
      <c r="S8" s="421" t="s">
        <v>362</v>
      </c>
      <c r="T8" s="414"/>
      <c r="U8" s="414"/>
      <c r="V8" s="402"/>
      <c r="W8" s="402"/>
      <c r="X8" s="183"/>
      <c r="Y8" s="202"/>
      <c r="Z8" s="421" t="s">
        <v>365</v>
      </c>
      <c r="AA8" s="414"/>
      <c r="AB8" s="414"/>
      <c r="AC8" s="402"/>
      <c r="AD8" s="402"/>
      <c r="AE8" s="183"/>
      <c r="AG8" s="408"/>
      <c r="AH8" s="408"/>
      <c r="AM8" s="467"/>
      <c r="AN8" s="229"/>
      <c r="AT8" s="229"/>
      <c r="AV8" s="229"/>
    </row>
    <row r="9" spans="1:82" ht="13.5" thickBot="1" x14ac:dyDescent="0.25">
      <c r="A9" s="470"/>
      <c r="B9" s="1"/>
      <c r="C9" s="202"/>
      <c r="E9" s="422" t="s">
        <v>351</v>
      </c>
      <c r="F9" s="415"/>
      <c r="G9" s="415"/>
      <c r="H9" s="404"/>
      <c r="I9" s="404"/>
      <c r="J9" s="184"/>
      <c r="L9" s="422" t="s">
        <v>357</v>
      </c>
      <c r="M9" s="415"/>
      <c r="N9" s="415"/>
      <c r="O9" s="404"/>
      <c r="P9" s="404"/>
      <c r="Q9" s="184"/>
      <c r="R9" s="202"/>
      <c r="S9" s="422" t="s">
        <v>369</v>
      </c>
      <c r="T9" s="415"/>
      <c r="U9" s="415"/>
      <c r="V9" s="404"/>
      <c r="W9" s="404"/>
      <c r="X9" s="184"/>
      <c r="Y9" s="202"/>
      <c r="Z9" s="422" t="s">
        <v>359</v>
      </c>
      <c r="AA9" s="415"/>
      <c r="AB9" s="415"/>
      <c r="AC9" s="404"/>
      <c r="AD9" s="404"/>
      <c r="AE9" s="184"/>
      <c r="AG9" s="366"/>
      <c r="AH9" s="378"/>
      <c r="AM9" s="467"/>
      <c r="AN9" s="229"/>
      <c r="AU9" s="229"/>
      <c r="AX9" s="229"/>
    </row>
    <row r="10" spans="1:82" ht="11.25" customHeight="1" thickBot="1" x14ac:dyDescent="0.25">
      <c r="A10" s="470"/>
      <c r="B10" s="1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1"/>
      <c r="T10" s="1"/>
      <c r="U10" s="1"/>
      <c r="V10" s="1"/>
      <c r="W10" s="1"/>
      <c r="X10" s="1"/>
      <c r="Y10" s="1"/>
      <c r="Z10" s="203"/>
      <c r="AA10" s="203"/>
      <c r="AB10" s="202"/>
      <c r="AC10" s="35"/>
      <c r="AD10" s="416"/>
      <c r="AE10" s="416"/>
      <c r="AF10" s="8"/>
      <c r="AG10" s="35"/>
      <c r="AH10" s="468"/>
      <c r="AI10" s="468"/>
      <c r="AJ10" s="468"/>
      <c r="AK10" s="6"/>
      <c r="AL10" s="368"/>
      <c r="AM10" s="467"/>
      <c r="AN10" s="229"/>
      <c r="AQ10" s="229"/>
      <c r="AT10" s="229"/>
    </row>
    <row r="11" spans="1:82" ht="13.5" customHeight="1" thickBot="1" x14ac:dyDescent="0.25">
      <c r="A11" s="470"/>
      <c r="B11" s="1"/>
      <c r="C11" s="202"/>
      <c r="E11" s="464" t="s">
        <v>5</v>
      </c>
      <c r="F11" s="465"/>
      <c r="G11" s="465"/>
      <c r="H11" s="465"/>
      <c r="I11" s="465"/>
      <c r="J11" s="466"/>
      <c r="L11" s="464" t="s">
        <v>6</v>
      </c>
      <c r="M11" s="465"/>
      <c r="N11" s="465"/>
      <c r="O11" s="465"/>
      <c r="P11" s="465"/>
      <c r="Q11" s="466"/>
      <c r="R11" s="202"/>
      <c r="S11" s="464" t="s">
        <v>7</v>
      </c>
      <c r="T11" s="465"/>
      <c r="U11" s="465"/>
      <c r="V11" s="465"/>
      <c r="W11" s="465"/>
      <c r="X11" s="466"/>
      <c r="Y11" s="202"/>
      <c r="Z11" s="464" t="s">
        <v>8</v>
      </c>
      <c r="AA11" s="465"/>
      <c r="AB11" s="465"/>
      <c r="AC11" s="465"/>
      <c r="AD11" s="465"/>
      <c r="AE11" s="466"/>
      <c r="AK11" s="6"/>
      <c r="AL11" s="368"/>
      <c r="AN11" s="229"/>
      <c r="AR11" s="229"/>
      <c r="AU11" s="229"/>
    </row>
    <row r="12" spans="1:82" s="4" customFormat="1" ht="13.5" customHeight="1" x14ac:dyDescent="0.2">
      <c r="A12" s="470"/>
      <c r="B12" s="1"/>
      <c r="C12" s="202"/>
      <c r="E12" s="420" t="s">
        <v>356</v>
      </c>
      <c r="F12" s="405"/>
      <c r="G12" s="405"/>
      <c r="H12" s="406"/>
      <c r="I12" s="406"/>
      <c r="J12" s="419"/>
      <c r="L12" s="420" t="s">
        <v>370</v>
      </c>
      <c r="M12" s="405"/>
      <c r="N12" s="405"/>
      <c r="O12" s="406"/>
      <c r="P12" s="406"/>
      <c r="Q12" s="419"/>
      <c r="R12" s="202"/>
      <c r="S12" s="420" t="s">
        <v>376</v>
      </c>
      <c r="T12" s="405"/>
      <c r="U12" s="405"/>
      <c r="V12" s="406"/>
      <c r="W12" s="406"/>
      <c r="X12" s="419"/>
      <c r="Y12" s="202"/>
      <c r="Z12" s="420" t="s">
        <v>378</v>
      </c>
      <c r="AA12" s="405"/>
      <c r="AB12" s="405"/>
      <c r="AC12" s="406"/>
      <c r="AD12" s="406"/>
      <c r="AE12" s="419"/>
      <c r="AG12" s="128"/>
      <c r="AH12" s="128"/>
      <c r="AI12" s="128"/>
      <c r="AJ12" s="128"/>
      <c r="AK12" s="10"/>
      <c r="AL12" s="368"/>
      <c r="AM12" s="467"/>
      <c r="AN12" s="229"/>
      <c r="AO12" s="1"/>
      <c r="AP12" s="1"/>
      <c r="AQ12" s="1"/>
      <c r="AR12" s="1"/>
      <c r="AS12" s="1"/>
      <c r="AT12" s="229"/>
      <c r="AU12" s="1"/>
      <c r="AV12" s="1"/>
      <c r="AW12" s="229"/>
      <c r="AX12" s="1"/>
      <c r="AY12" s="1"/>
      <c r="AZ12" s="1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</row>
    <row r="13" spans="1:82" ht="12.75" customHeight="1" x14ac:dyDescent="0.2">
      <c r="A13" s="470"/>
      <c r="B13" s="1"/>
      <c r="C13" s="202"/>
      <c r="E13" s="421" t="s">
        <v>366</v>
      </c>
      <c r="F13" s="414"/>
      <c r="G13" s="414"/>
      <c r="H13" s="402"/>
      <c r="I13" s="402"/>
      <c r="J13" s="183"/>
      <c r="L13" s="421" t="s">
        <v>371</v>
      </c>
      <c r="M13" s="414"/>
      <c r="N13" s="414"/>
      <c r="O13" s="402"/>
      <c r="P13" s="402"/>
      <c r="Q13" s="183"/>
      <c r="R13" s="202"/>
      <c r="S13" s="421" t="s">
        <v>373</v>
      </c>
      <c r="T13" s="414"/>
      <c r="U13" s="414"/>
      <c r="V13" s="402"/>
      <c r="W13" s="402"/>
      <c r="X13" s="183"/>
      <c r="Y13" s="202"/>
      <c r="Z13" s="421" t="s">
        <v>379</v>
      </c>
      <c r="AA13" s="414"/>
      <c r="AB13" s="414"/>
      <c r="AC13" s="402"/>
      <c r="AD13" s="402"/>
      <c r="AE13" s="183"/>
      <c r="AK13" s="6"/>
      <c r="AL13" s="368"/>
      <c r="AM13" s="467"/>
      <c r="AN13" s="229"/>
      <c r="AT13" s="229"/>
      <c r="AX13" s="229"/>
    </row>
    <row r="14" spans="1:82" ht="12.75" customHeight="1" x14ac:dyDescent="0.2">
      <c r="A14" s="470"/>
      <c r="B14" s="1"/>
      <c r="C14" s="202"/>
      <c r="E14" s="421" t="s">
        <v>367</v>
      </c>
      <c r="F14" s="414"/>
      <c r="G14" s="414"/>
      <c r="H14" s="402"/>
      <c r="I14" s="402"/>
      <c r="J14" s="183"/>
      <c r="L14" s="421" t="s">
        <v>372</v>
      </c>
      <c r="M14" s="414"/>
      <c r="N14" s="414"/>
      <c r="O14" s="402"/>
      <c r="P14" s="402"/>
      <c r="Q14" s="183"/>
      <c r="R14" s="202"/>
      <c r="S14" s="421" t="s">
        <v>423</v>
      </c>
      <c r="T14" s="414"/>
      <c r="U14" s="414"/>
      <c r="V14" s="402"/>
      <c r="W14" s="402"/>
      <c r="X14" s="183"/>
      <c r="Y14" s="202"/>
      <c r="Z14" s="421" t="s">
        <v>380</v>
      </c>
      <c r="AA14" s="414"/>
      <c r="AB14" s="414"/>
      <c r="AC14" s="402"/>
      <c r="AD14" s="402"/>
      <c r="AE14" s="183"/>
      <c r="AK14" s="6"/>
      <c r="AL14" s="368"/>
      <c r="AM14" s="467"/>
      <c r="AN14" s="229"/>
      <c r="AT14" s="229"/>
      <c r="AW14" s="229"/>
    </row>
    <row r="15" spans="1:82" ht="12.75" customHeight="1" x14ac:dyDescent="0.2">
      <c r="A15" s="470"/>
      <c r="B15" s="1"/>
      <c r="C15" s="202"/>
      <c r="E15" s="421" t="s">
        <v>368</v>
      </c>
      <c r="F15" s="414"/>
      <c r="G15" s="414"/>
      <c r="H15" s="402"/>
      <c r="I15" s="402"/>
      <c r="J15" s="183"/>
      <c r="L15" s="421" t="s">
        <v>425</v>
      </c>
      <c r="M15" s="414"/>
      <c r="N15" s="414"/>
      <c r="O15" s="402"/>
      <c r="P15" s="402"/>
      <c r="Q15" s="183"/>
      <c r="R15" s="202"/>
      <c r="S15" s="421" t="s">
        <v>375</v>
      </c>
      <c r="T15" s="414"/>
      <c r="U15" s="414"/>
      <c r="V15" s="402"/>
      <c r="W15" s="402"/>
      <c r="X15" s="183"/>
      <c r="Y15" s="202"/>
      <c r="Z15" s="421" t="s">
        <v>374</v>
      </c>
      <c r="AA15" s="414"/>
      <c r="AB15" s="414"/>
      <c r="AC15" s="402"/>
      <c r="AD15" s="402"/>
      <c r="AE15" s="183"/>
      <c r="AK15" s="402"/>
      <c r="AL15" s="368"/>
      <c r="AM15" s="467"/>
      <c r="AN15" s="229"/>
      <c r="AT15" s="229"/>
      <c r="AW15" s="229"/>
    </row>
    <row r="16" spans="1:82" ht="13.5" thickBot="1" x14ac:dyDescent="0.25">
      <c r="A16" s="470"/>
      <c r="B16" s="1"/>
      <c r="C16" s="202"/>
      <c r="E16" s="422" t="s">
        <v>358</v>
      </c>
      <c r="F16" s="415"/>
      <c r="G16" s="415"/>
      <c r="H16" s="404"/>
      <c r="I16" s="404"/>
      <c r="J16" s="184"/>
      <c r="L16" s="422" t="s">
        <v>377</v>
      </c>
      <c r="M16" s="415"/>
      <c r="N16" s="415"/>
      <c r="O16" s="404"/>
      <c r="P16" s="404"/>
      <c r="Q16" s="184"/>
      <c r="R16" s="202"/>
      <c r="S16" s="422" t="s">
        <v>430</v>
      </c>
      <c r="T16" s="415"/>
      <c r="U16" s="415"/>
      <c r="V16" s="404"/>
      <c r="W16" s="404"/>
      <c r="X16" s="184"/>
      <c r="Y16" s="202"/>
      <c r="Z16" s="423"/>
      <c r="AA16" s="415"/>
      <c r="AB16" s="415"/>
      <c r="AC16" s="404"/>
      <c r="AD16" s="404"/>
      <c r="AE16" s="184"/>
      <c r="AK16" s="6"/>
      <c r="AL16" s="368"/>
      <c r="AM16" s="467"/>
      <c r="AN16" s="229"/>
      <c r="AS16" s="229"/>
      <c r="AV16" s="229"/>
    </row>
    <row r="17" spans="1:61" ht="11.25" customHeight="1" thickBot="1" x14ac:dyDescent="0.25">
      <c r="A17" s="470"/>
      <c r="B17" s="1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1"/>
      <c r="T17" s="1"/>
      <c r="U17" s="1"/>
      <c r="V17" s="8"/>
      <c r="W17" s="1"/>
      <c r="X17" s="1"/>
      <c r="Y17" s="1"/>
      <c r="Z17" s="1"/>
      <c r="AA17" s="203"/>
      <c r="AB17" s="202"/>
      <c r="AF17" s="8"/>
      <c r="AK17" s="6"/>
      <c r="AL17" s="368"/>
      <c r="AM17" s="467"/>
      <c r="AN17" s="229"/>
      <c r="AQ17" s="229"/>
      <c r="AT17" s="229"/>
    </row>
    <row r="18" spans="1:61" ht="5.25" hidden="1" customHeight="1" thickBot="1" x14ac:dyDescent="0.25">
      <c r="A18" s="470"/>
      <c r="B18" s="1"/>
      <c r="C18" s="202"/>
      <c r="AB18" s="395"/>
      <c r="AC18" s="395"/>
      <c r="AF18" s="8"/>
      <c r="AK18" s="6"/>
      <c r="AL18" s="368"/>
      <c r="AM18" s="467"/>
      <c r="AN18" s="229"/>
      <c r="AS18" s="229"/>
      <c r="AV18" s="229"/>
    </row>
    <row r="19" spans="1:61" ht="13.5" customHeight="1" thickBot="1" x14ac:dyDescent="0.25">
      <c r="A19" s="470"/>
      <c r="B19" s="1"/>
      <c r="C19" s="202"/>
      <c r="F19" s="445" t="s">
        <v>349</v>
      </c>
      <c r="G19" s="446"/>
      <c r="H19" s="446"/>
      <c r="I19" s="446"/>
      <c r="J19" s="447"/>
      <c r="M19" s="445" t="s">
        <v>345</v>
      </c>
      <c r="N19" s="446"/>
      <c r="O19" s="446"/>
      <c r="P19" s="446"/>
      <c r="Q19" s="447"/>
      <c r="R19" s="1"/>
      <c r="T19" s="445" t="s">
        <v>346</v>
      </c>
      <c r="U19" s="446"/>
      <c r="V19" s="446"/>
      <c r="W19" s="446"/>
      <c r="X19" s="447"/>
      <c r="AA19" s="445" t="s">
        <v>347</v>
      </c>
      <c r="AB19" s="446"/>
      <c r="AC19" s="446"/>
      <c r="AD19" s="446"/>
      <c r="AE19" s="447"/>
      <c r="AF19" s="8"/>
      <c r="AK19" s="2"/>
      <c r="AL19" s="368"/>
      <c r="AM19" s="467"/>
      <c r="AN19" s="229"/>
    </row>
    <row r="20" spans="1:61" ht="13.5" customHeight="1" x14ac:dyDescent="0.2">
      <c r="A20" s="470"/>
      <c r="B20" s="1"/>
      <c r="C20" s="202"/>
      <c r="E20" s="448" t="s">
        <v>33</v>
      </c>
      <c r="F20" s="380" t="s">
        <v>388</v>
      </c>
      <c r="G20" s="383"/>
      <c r="H20" s="383"/>
      <c r="I20" s="383"/>
      <c r="J20" s="384"/>
      <c r="K20" s="202"/>
      <c r="L20" s="448" t="s">
        <v>33</v>
      </c>
      <c r="M20" s="380" t="s">
        <v>393</v>
      </c>
      <c r="N20" s="383"/>
      <c r="O20" s="383"/>
      <c r="P20" s="383"/>
      <c r="Q20" s="384"/>
      <c r="R20" s="202"/>
      <c r="S20" s="460" t="s">
        <v>34</v>
      </c>
      <c r="T20" s="380" t="s">
        <v>398</v>
      </c>
      <c r="U20" s="383"/>
      <c r="V20" s="383"/>
      <c r="W20" s="383"/>
      <c r="X20" s="384"/>
      <c r="Y20" s="1"/>
      <c r="Z20" s="460" t="s">
        <v>34</v>
      </c>
      <c r="AA20" s="380" t="s">
        <v>402</v>
      </c>
      <c r="AB20" s="383"/>
      <c r="AC20" s="383"/>
      <c r="AD20" s="383"/>
      <c r="AE20" s="384"/>
      <c r="AF20" s="8"/>
      <c r="AK20" s="6"/>
      <c r="AL20" s="368"/>
      <c r="AM20" s="467"/>
      <c r="AN20" s="229"/>
    </row>
    <row r="21" spans="1:61" ht="13.5" customHeight="1" x14ac:dyDescent="0.2">
      <c r="A21" s="470"/>
      <c r="E21" s="449"/>
      <c r="F21" s="382" t="s">
        <v>389</v>
      </c>
      <c r="G21" s="417"/>
      <c r="H21" s="417"/>
      <c r="I21" s="417"/>
      <c r="J21" s="381"/>
      <c r="K21" s="202"/>
      <c r="L21" s="449"/>
      <c r="M21" s="382" t="s">
        <v>394</v>
      </c>
      <c r="N21" s="417"/>
      <c r="O21" s="417"/>
      <c r="P21" s="417"/>
      <c r="Q21" s="381"/>
      <c r="R21" s="202"/>
      <c r="S21" s="461"/>
      <c r="T21" s="382" t="s">
        <v>399</v>
      </c>
      <c r="U21" s="417"/>
      <c r="V21" s="417"/>
      <c r="W21" s="417"/>
      <c r="X21" s="381"/>
      <c r="Y21" s="1"/>
      <c r="Z21" s="461"/>
      <c r="AA21" s="382" t="s">
        <v>403</v>
      </c>
      <c r="AB21" s="417"/>
      <c r="AC21" s="417"/>
      <c r="AD21" s="417"/>
      <c r="AE21" s="381"/>
      <c r="AK21" s="6"/>
      <c r="AL21" s="368"/>
      <c r="AM21" s="467"/>
      <c r="AN21" s="229"/>
    </row>
    <row r="22" spans="1:61" ht="13.5" customHeight="1" x14ac:dyDescent="0.2">
      <c r="A22" s="470"/>
      <c r="E22" s="449"/>
      <c r="F22" s="382" t="s">
        <v>390</v>
      </c>
      <c r="G22" s="417"/>
      <c r="H22" s="417"/>
      <c r="I22" s="417"/>
      <c r="J22" s="381"/>
      <c r="K22" s="202"/>
      <c r="L22" s="449"/>
      <c r="M22" s="382" t="s">
        <v>395</v>
      </c>
      <c r="N22" s="417"/>
      <c r="O22" s="417"/>
      <c r="P22" s="417"/>
      <c r="Q22" s="381"/>
      <c r="R22" s="202"/>
      <c r="S22" s="461"/>
      <c r="T22" s="382" t="s">
        <v>400</v>
      </c>
      <c r="U22" s="417"/>
      <c r="V22" s="417"/>
      <c r="W22" s="417"/>
      <c r="X22" s="381"/>
      <c r="Y22" s="1"/>
      <c r="Z22" s="461"/>
      <c r="AA22" s="382" t="s">
        <v>404</v>
      </c>
      <c r="AB22" s="417"/>
      <c r="AC22" s="417"/>
      <c r="AD22" s="417"/>
      <c r="AE22" s="381"/>
      <c r="AF22" s="2"/>
      <c r="AG22" s="202"/>
      <c r="AK22" s="6"/>
      <c r="AL22" s="368"/>
      <c r="AM22" s="467"/>
      <c r="AN22" s="229"/>
    </row>
    <row r="23" spans="1:61" ht="12" customHeight="1" thickBot="1" x14ac:dyDescent="0.25">
      <c r="A23" s="132"/>
      <c r="D23" s="372"/>
      <c r="E23" s="449"/>
      <c r="F23" s="382" t="s">
        <v>391</v>
      </c>
      <c r="G23" s="417"/>
      <c r="H23" s="417"/>
      <c r="I23" s="417"/>
      <c r="J23" s="381"/>
      <c r="K23" s="202"/>
      <c r="L23" s="449"/>
      <c r="M23" s="382" t="s">
        <v>396</v>
      </c>
      <c r="N23" s="417"/>
      <c r="O23" s="417"/>
      <c r="P23" s="417"/>
      <c r="Q23" s="381"/>
      <c r="R23" s="202"/>
      <c r="S23" s="462"/>
      <c r="T23" s="385" t="s">
        <v>401</v>
      </c>
      <c r="U23" s="386"/>
      <c r="V23" s="386"/>
      <c r="W23" s="386"/>
      <c r="X23" s="387"/>
      <c r="Y23" s="1"/>
      <c r="Z23" s="462"/>
      <c r="AA23" s="456" t="s">
        <v>436</v>
      </c>
      <c r="AB23" s="457"/>
      <c r="AC23" s="457"/>
      <c r="AD23" s="458"/>
      <c r="AE23" s="459"/>
      <c r="AM23" s="367"/>
      <c r="AN23" s="229"/>
      <c r="AT23" s="229"/>
      <c r="AW23" s="229"/>
    </row>
    <row r="24" spans="1:61" ht="12" customHeight="1" thickBot="1" x14ac:dyDescent="0.25">
      <c r="A24" s="132"/>
      <c r="D24" s="372"/>
      <c r="E24" s="450"/>
      <c r="F24" s="385" t="s">
        <v>392</v>
      </c>
      <c r="G24" s="386"/>
      <c r="H24" s="386"/>
      <c r="I24" s="386"/>
      <c r="J24" s="387"/>
      <c r="K24" s="202"/>
      <c r="L24" s="450"/>
      <c r="M24" s="385" t="s">
        <v>397</v>
      </c>
      <c r="N24" s="386"/>
      <c r="O24" s="386"/>
      <c r="P24" s="386"/>
      <c r="Q24" s="387"/>
      <c r="R24" s="202"/>
      <c r="S24" s="398"/>
      <c r="T24" s="417"/>
      <c r="U24" s="417"/>
      <c r="V24" s="417"/>
      <c r="W24" s="417"/>
      <c r="X24" s="417"/>
      <c r="Y24" s="1"/>
      <c r="AB24" s="394"/>
      <c r="AC24" s="394"/>
      <c r="AM24" s="379"/>
      <c r="AN24" s="229"/>
      <c r="AT24" s="229"/>
      <c r="AW24" s="229"/>
    </row>
    <row r="25" spans="1:61" ht="12" hidden="1" customHeight="1" x14ac:dyDescent="0.2">
      <c r="A25" s="132"/>
      <c r="D25" s="372"/>
      <c r="E25" s="398"/>
      <c r="F25" s="396"/>
      <c r="G25" s="396"/>
      <c r="H25" s="396"/>
      <c r="I25" s="396"/>
      <c r="J25" s="396"/>
      <c r="K25" s="202"/>
      <c r="L25" s="398"/>
      <c r="M25" s="396"/>
      <c r="N25" s="396"/>
      <c r="O25" s="396"/>
      <c r="P25" s="396"/>
      <c r="Q25" s="396"/>
      <c r="R25" s="202"/>
      <c r="S25" s="397"/>
      <c r="T25" s="282"/>
      <c r="U25" s="282"/>
      <c r="V25" s="282"/>
      <c r="W25" s="282"/>
      <c r="X25" s="282"/>
      <c r="AB25" s="394"/>
      <c r="AC25" s="394"/>
      <c r="AM25" s="379"/>
      <c r="AN25" s="229"/>
      <c r="AT25" s="229"/>
      <c r="AW25" s="229"/>
    </row>
    <row r="26" spans="1:61" ht="19.5" customHeight="1" x14ac:dyDescent="0.2">
      <c r="A26" s="331"/>
      <c r="D26" s="373"/>
      <c r="E26" s="373"/>
      <c r="F26" s="373"/>
      <c r="G26" s="373"/>
      <c r="H26" s="373"/>
      <c r="I26" s="373"/>
      <c r="J26" s="11"/>
      <c r="K26" s="11"/>
      <c r="L26" s="11"/>
      <c r="R26" s="241"/>
      <c r="AN26" s="229"/>
      <c r="AS26" s="229"/>
      <c r="AW26" s="229"/>
    </row>
    <row r="27" spans="1:61" ht="12.75" customHeight="1" x14ac:dyDescent="0.2">
      <c r="A27" s="331"/>
      <c r="D27" s="370" t="str">
        <f>START!B2</f>
        <v>10:30 - 10:45 uur</v>
      </c>
      <c r="E27" s="376"/>
      <c r="F27" s="376"/>
      <c r="G27" s="376"/>
      <c r="H27" s="376"/>
      <c r="I27" s="376"/>
      <c r="J27" s="376"/>
      <c r="K27" s="376"/>
      <c r="L27" s="376"/>
      <c r="M27" s="376"/>
      <c r="N27" s="376"/>
      <c r="O27" s="376"/>
      <c r="P27" s="376"/>
      <c r="Q27" s="369" t="s">
        <v>11</v>
      </c>
      <c r="S27" s="370" t="str">
        <f>START!B7</f>
        <v>11:45 - 12:00 uur</v>
      </c>
      <c r="T27" s="371"/>
      <c r="U27" s="371"/>
      <c r="V27" s="371"/>
      <c r="W27" s="371"/>
      <c r="X27" s="371"/>
      <c r="Y27" s="371"/>
      <c r="Z27" s="371"/>
      <c r="AA27" s="371"/>
      <c r="AB27" s="371"/>
      <c r="AC27" s="371"/>
      <c r="AD27" s="371"/>
      <c r="AE27" s="371"/>
      <c r="AF27" s="369" t="s">
        <v>12</v>
      </c>
      <c r="AN27" s="229"/>
      <c r="AS27" s="229"/>
      <c r="AV27" s="229"/>
    </row>
    <row r="28" spans="1:61" ht="12.75" customHeight="1" x14ac:dyDescent="0.2">
      <c r="A28" s="470" t="s">
        <v>13</v>
      </c>
      <c r="D28" s="5">
        <v>1</v>
      </c>
      <c r="E28" s="364" t="str">
        <f>E5</f>
        <v>De Torpedo's</v>
      </c>
      <c r="F28" s="364"/>
      <c r="I28" s="424" t="s">
        <v>16</v>
      </c>
      <c r="J28" s="365" t="str">
        <f>E6</f>
        <v>Asvv de Schollevers</v>
      </c>
      <c r="K28" s="365"/>
      <c r="O28" s="176">
        <v>1</v>
      </c>
      <c r="P28" s="177" t="s">
        <v>16</v>
      </c>
      <c r="Q28" s="178">
        <v>0</v>
      </c>
      <c r="S28" s="281">
        <v>1</v>
      </c>
      <c r="T28" s="388" t="str">
        <f>KWALIFICATIE!F20</f>
        <v>Pilsmaten</v>
      </c>
      <c r="U28" s="388"/>
      <c r="V28" s="203"/>
      <c r="W28" s="203"/>
      <c r="X28" s="281" t="s">
        <v>16</v>
      </c>
      <c r="Y28" s="389" t="str">
        <f>KWALIFICATIE!F22</f>
        <v>TEC-BTV</v>
      </c>
      <c r="Z28" s="389"/>
      <c r="AA28" s="203"/>
      <c r="AB28" s="203"/>
      <c r="AC28" s="203"/>
      <c r="AD28" s="390">
        <v>0</v>
      </c>
      <c r="AE28" s="391" t="s">
        <v>16</v>
      </c>
      <c r="AF28" s="392">
        <v>0</v>
      </c>
      <c r="AO28"/>
      <c r="AP28"/>
      <c r="AU28" s="229"/>
    </row>
    <row r="29" spans="1:61" ht="12.75" customHeight="1" x14ac:dyDescent="0.2">
      <c r="A29" s="470"/>
      <c r="D29" s="5">
        <v>2</v>
      </c>
      <c r="E29" s="364" t="str">
        <f>E7</f>
        <v>AccentSport Rakkers</v>
      </c>
      <c r="F29" s="364"/>
      <c r="I29" s="5" t="s">
        <v>16</v>
      </c>
      <c r="J29" s="365" t="str">
        <f>E8</f>
        <v xml:space="preserve">De Pintjes </v>
      </c>
      <c r="K29" s="365"/>
      <c r="O29" s="176">
        <v>2</v>
      </c>
      <c r="P29" s="177" t="s">
        <v>16</v>
      </c>
      <c r="Q29" s="178">
        <v>1</v>
      </c>
      <c r="S29" s="281">
        <v>2</v>
      </c>
      <c r="T29" s="388" t="str">
        <f>KWALIFICATIE!F23</f>
        <v>Rap</v>
      </c>
      <c r="U29" s="388"/>
      <c r="V29" s="203"/>
      <c r="W29" s="203"/>
      <c r="X29" s="281" t="s">
        <v>16</v>
      </c>
      <c r="Y29" s="389" t="str">
        <f>KWALIFICATIE!F24</f>
        <v>De Dinkies</v>
      </c>
      <c r="Z29" s="389"/>
      <c r="AA29" s="203"/>
      <c r="AB29" s="203"/>
      <c r="AC29" s="203"/>
      <c r="AD29" s="390">
        <v>0</v>
      </c>
      <c r="AE29" s="391" t="s">
        <v>16</v>
      </c>
      <c r="AF29" s="392">
        <v>2</v>
      </c>
      <c r="AO29"/>
      <c r="AP29"/>
    </row>
    <row r="30" spans="1:61" ht="12.75" customHeight="1" x14ac:dyDescent="0.2">
      <c r="A30" s="470"/>
      <c r="D30" s="5">
        <v>3</v>
      </c>
      <c r="E30" s="364" t="str">
        <f>L5</f>
        <v>De Doofpot</v>
      </c>
      <c r="F30" s="364"/>
      <c r="I30" s="5" t="s">
        <v>16</v>
      </c>
      <c r="J30" s="365" t="str">
        <f>L6</f>
        <v>Fons Vitaeplein</v>
      </c>
      <c r="K30" s="365"/>
      <c r="O30" s="176">
        <v>2</v>
      </c>
      <c r="P30" s="177" t="s">
        <v>16</v>
      </c>
      <c r="Q30" s="178">
        <v>1</v>
      </c>
      <c r="S30" s="281">
        <v>3</v>
      </c>
      <c r="T30" s="388" t="str">
        <f>KWALIFICATIE!L12</f>
        <v>Scherp Online</v>
      </c>
      <c r="U30" s="388"/>
      <c r="V30" s="203"/>
      <c r="W30" s="203"/>
      <c r="X30" s="281" t="s">
        <v>16</v>
      </c>
      <c r="Y30" s="389" t="str">
        <f>KWALIFICATIE!L14</f>
        <v>#illuminaticonfirmed</v>
      </c>
      <c r="Z30" s="389"/>
      <c r="AA30" s="203"/>
      <c r="AB30" s="203"/>
      <c r="AC30" s="203"/>
      <c r="AD30" s="390">
        <v>6</v>
      </c>
      <c r="AE30" s="391" t="s">
        <v>16</v>
      </c>
      <c r="AF30" s="392">
        <v>0</v>
      </c>
    </row>
    <row r="31" spans="1:61" ht="12.75" customHeight="1" x14ac:dyDescent="0.2">
      <c r="A31" s="470"/>
      <c r="D31" s="5">
        <v>4</v>
      </c>
      <c r="E31" s="364" t="str">
        <f>L7</f>
        <v>De Flitsers 3</v>
      </c>
      <c r="F31" s="364"/>
      <c r="I31" s="5" t="s">
        <v>16</v>
      </c>
      <c r="J31" s="365" t="str">
        <f>L8</f>
        <v>Swift Zondag 11</v>
      </c>
      <c r="K31" s="365"/>
      <c r="O31" s="176">
        <v>2</v>
      </c>
      <c r="P31" s="177" t="s">
        <v>16</v>
      </c>
      <c r="Q31" s="178">
        <v>0</v>
      </c>
      <c r="S31" s="281">
        <v>4</v>
      </c>
      <c r="T31" s="388" t="str">
        <f>KWALIFICATIE!L15</f>
        <v>Fred Bacon Zalf-fabriekje</v>
      </c>
      <c r="U31" s="388"/>
      <c r="V31" s="203"/>
      <c r="W31" s="203"/>
      <c r="X31" s="281" t="s">
        <v>16</v>
      </c>
      <c r="Y31" s="389" t="str">
        <f>KWALIFICATIE!L16</f>
        <v>Team Bublé</v>
      </c>
      <c r="Z31" s="389"/>
      <c r="AA31" s="203"/>
      <c r="AB31" s="203"/>
      <c r="AC31" s="203"/>
      <c r="AD31" s="390">
        <v>1</v>
      </c>
      <c r="AE31" s="391" t="s">
        <v>16</v>
      </c>
      <c r="AF31" s="392">
        <v>2</v>
      </c>
    </row>
    <row r="32" spans="1:61" ht="12.75" customHeight="1" x14ac:dyDescent="0.2">
      <c r="A32" s="470"/>
      <c r="D32" s="5">
        <v>5</v>
      </c>
      <c r="E32" s="364" t="str">
        <f>S5</f>
        <v>De Kabel</v>
      </c>
      <c r="F32" s="364"/>
      <c r="I32" s="5" t="s">
        <v>16</v>
      </c>
      <c r="J32" s="365" t="str">
        <f>S6</f>
        <v>Om des Keijzers baerdt</v>
      </c>
      <c r="K32" s="365"/>
      <c r="O32" s="425">
        <v>2</v>
      </c>
      <c r="P32" s="177" t="s">
        <v>16</v>
      </c>
      <c r="Q32" s="178">
        <v>0</v>
      </c>
      <c r="S32" s="281">
        <v>5</v>
      </c>
      <c r="T32" s="388" t="str">
        <f>KWALIFICATIE!S12</f>
        <v>Correctie veld 4</v>
      </c>
      <c r="U32" s="388"/>
      <c r="V32" s="203"/>
      <c r="W32" s="203"/>
      <c r="X32" s="281" t="s">
        <v>16</v>
      </c>
      <c r="Y32" s="389" t="str">
        <f>KWALIFICATIE!S14</f>
        <v>Patti don't shout @ me</v>
      </c>
      <c r="Z32" s="389"/>
      <c r="AA32" s="203"/>
      <c r="AB32" s="203"/>
      <c r="AC32" s="203"/>
      <c r="AD32" s="390">
        <v>1</v>
      </c>
      <c r="AE32" s="391" t="s">
        <v>16</v>
      </c>
      <c r="AF32" s="392">
        <v>0</v>
      </c>
      <c r="AY32" s="229"/>
      <c r="BF32" s="131"/>
      <c r="BI32" s="131">
        <v>26</v>
      </c>
    </row>
    <row r="33" spans="1:82" ht="12.75" customHeight="1" x14ac:dyDescent="0.2">
      <c r="A33" s="470"/>
      <c r="D33" s="5">
        <v>6</v>
      </c>
      <c r="E33" s="364" t="str">
        <f>S7</f>
        <v>Team Bombert</v>
      </c>
      <c r="F33" s="364"/>
      <c r="I33" s="5" t="s">
        <v>16</v>
      </c>
      <c r="J33" s="365" t="str">
        <f>S8</f>
        <v>Jenever op de Schinkel</v>
      </c>
      <c r="K33" s="365"/>
      <c r="O33" s="176">
        <v>7</v>
      </c>
      <c r="P33" s="177" t="s">
        <v>16</v>
      </c>
      <c r="Q33" s="178">
        <v>1</v>
      </c>
      <c r="S33" s="281">
        <v>6</v>
      </c>
      <c r="T33" s="388" t="str">
        <f>KWALIFICATIE!S15</f>
        <v>Swiffie 5</v>
      </c>
      <c r="U33" s="388"/>
      <c r="V33" s="203"/>
      <c r="W33" s="203"/>
      <c r="X33" s="281" t="s">
        <v>16</v>
      </c>
      <c r="Y33" s="389" t="str">
        <f>KWALIFICATIE!S16</f>
        <v>Sporting Almere</v>
      </c>
      <c r="Z33" s="389"/>
      <c r="AA33" s="203"/>
      <c r="AB33" s="203"/>
      <c r="AC33" s="203"/>
      <c r="AD33" s="390">
        <v>0</v>
      </c>
      <c r="AE33" s="391" t="s">
        <v>16</v>
      </c>
      <c r="AF33" s="392">
        <v>0</v>
      </c>
      <c r="BA33" s="131"/>
      <c r="BD33" s="131"/>
      <c r="BJ33" s="131" t="s">
        <v>18</v>
      </c>
      <c r="BM33" s="131" t="s">
        <v>19</v>
      </c>
      <c r="BS33" s="131" t="s">
        <v>20</v>
      </c>
      <c r="BV33" s="131" t="s">
        <v>21</v>
      </c>
      <c r="CB33" s="131" t="s">
        <v>22</v>
      </c>
      <c r="CD33" s="131">
        <v>31</v>
      </c>
    </row>
    <row r="34" spans="1:82" ht="12.75" customHeight="1" x14ac:dyDescent="0.2">
      <c r="A34" s="470"/>
    </row>
    <row r="35" spans="1:82" ht="12.75" customHeight="1" x14ac:dyDescent="0.2">
      <c r="A35" s="470"/>
      <c r="D35" s="370" t="str">
        <f>START!B3</f>
        <v>10:45 - 11:00 uur</v>
      </c>
      <c r="E35" s="376"/>
      <c r="F35" s="376"/>
      <c r="G35" s="376"/>
      <c r="H35" s="376"/>
      <c r="I35" s="376"/>
      <c r="J35" s="376"/>
      <c r="K35" s="376"/>
      <c r="L35" s="376"/>
      <c r="M35" s="376"/>
      <c r="N35" s="376"/>
      <c r="O35" s="376"/>
      <c r="P35" s="376"/>
      <c r="Q35" s="369" t="s">
        <v>23</v>
      </c>
      <c r="S35" s="370" t="str">
        <f>START!B8</f>
        <v>12:00 - 12:15 uur</v>
      </c>
      <c r="T35" s="371"/>
      <c r="U35" s="371"/>
      <c r="V35" s="371"/>
      <c r="W35" s="371"/>
      <c r="X35" s="371"/>
      <c r="Y35" s="371"/>
      <c r="Z35" s="371"/>
      <c r="AA35" s="371"/>
      <c r="AB35" s="371"/>
      <c r="AC35" s="371"/>
      <c r="AD35" s="371"/>
      <c r="AE35" s="371"/>
      <c r="AF35" s="369" t="s">
        <v>24</v>
      </c>
    </row>
    <row r="36" spans="1:82" ht="12.75" customHeight="1" x14ac:dyDescent="0.2">
      <c r="A36" s="470"/>
      <c r="D36" s="5">
        <v>1</v>
      </c>
      <c r="E36" s="400" t="str">
        <f>Z5</f>
        <v>IAMB&amp;B</v>
      </c>
      <c r="F36" s="400"/>
      <c r="I36" s="5" t="s">
        <v>16</v>
      </c>
      <c r="J36" s="399" t="str">
        <f>Z6</f>
        <v>FC Papa</v>
      </c>
      <c r="K36" s="399"/>
      <c r="O36" s="176">
        <v>4</v>
      </c>
      <c r="P36" s="177" t="s">
        <v>16</v>
      </c>
      <c r="Q36" s="178">
        <v>0</v>
      </c>
      <c r="S36" s="5">
        <v>1</v>
      </c>
      <c r="T36" s="400" t="str">
        <f>M20</f>
        <v>De Westfriesies</v>
      </c>
      <c r="U36" s="400"/>
      <c r="V36" s="203"/>
      <c r="W36" s="203"/>
      <c r="X36" s="5" t="s">
        <v>16</v>
      </c>
      <c r="Y36" s="399" t="str">
        <f>M22</f>
        <v>AMVJ</v>
      </c>
      <c r="Z36" s="399"/>
      <c r="AA36" s="203"/>
      <c r="AB36" s="203"/>
      <c r="AC36" s="203"/>
      <c r="AD36" s="176">
        <v>1</v>
      </c>
      <c r="AE36" s="177" t="s">
        <v>16</v>
      </c>
      <c r="AF36" s="178">
        <v>0</v>
      </c>
      <c r="AG36" s="209"/>
      <c r="AH36" s="209"/>
      <c r="AI36" s="211"/>
    </row>
    <row r="37" spans="1:82" ht="12.75" customHeight="1" x14ac:dyDescent="0.2">
      <c r="A37" s="470"/>
      <c r="D37" s="5">
        <v>2</v>
      </c>
      <c r="E37" s="400" t="str">
        <f>Z7</f>
        <v>Veddetero's klunzen</v>
      </c>
      <c r="F37" s="400"/>
      <c r="I37" s="5" t="s">
        <v>16</v>
      </c>
      <c r="J37" s="399" t="str">
        <f>Z8</f>
        <v>FC EPERNAY</v>
      </c>
      <c r="K37" s="399"/>
      <c r="O37" s="176">
        <v>0</v>
      </c>
      <c r="P37" s="177" t="s">
        <v>16</v>
      </c>
      <c r="Q37" s="178">
        <v>3</v>
      </c>
      <c r="S37" s="5">
        <v>2</v>
      </c>
      <c r="T37" s="400" t="str">
        <f>M23</f>
        <v>KFC zaterdag VR 35+</v>
      </c>
      <c r="U37" s="400"/>
      <c r="V37" s="203"/>
      <c r="W37" s="203"/>
      <c r="X37" s="5" t="s">
        <v>16</v>
      </c>
      <c r="Y37" s="399" t="str">
        <f>M24</f>
        <v>Fortius 1 dames 35+</v>
      </c>
      <c r="Z37" s="399"/>
      <c r="AA37" s="203"/>
      <c r="AB37" s="203"/>
      <c r="AC37" s="203"/>
      <c r="AD37" s="176">
        <v>0</v>
      </c>
      <c r="AE37" s="177" t="s">
        <v>16</v>
      </c>
      <c r="AF37" s="178">
        <v>0</v>
      </c>
      <c r="AI37" s="284"/>
    </row>
    <row r="38" spans="1:82" ht="12.75" customHeight="1" x14ac:dyDescent="0.2">
      <c r="A38" s="470"/>
      <c r="B38" s="1"/>
      <c r="C38" s="202"/>
      <c r="D38" s="5">
        <v>3</v>
      </c>
      <c r="E38" s="400" t="str">
        <f>E12</f>
        <v>Carte blanche</v>
      </c>
      <c r="F38" s="400"/>
      <c r="I38" s="5" t="s">
        <v>16</v>
      </c>
      <c r="J38" s="399" t="str">
        <f>E13</f>
        <v>MAN ON F.C</v>
      </c>
      <c r="K38" s="399"/>
      <c r="O38" s="176">
        <v>1</v>
      </c>
      <c r="P38" s="177" t="s">
        <v>16</v>
      </c>
      <c r="Q38" s="178">
        <v>0</v>
      </c>
      <c r="S38" s="5">
        <v>3</v>
      </c>
      <c r="T38" s="400" t="str">
        <f>Z12</f>
        <v>FC Isjeneefer</v>
      </c>
      <c r="U38" s="400"/>
      <c r="V38" s="203"/>
      <c r="W38" s="203"/>
      <c r="X38" s="5" t="s">
        <v>16</v>
      </c>
      <c r="Y38" s="399" t="str">
        <f>Z14</f>
        <v>Orion</v>
      </c>
      <c r="Z38" s="399"/>
      <c r="AA38" s="203"/>
      <c r="AB38" s="203"/>
      <c r="AC38" s="203"/>
      <c r="AD38" s="176">
        <v>0</v>
      </c>
      <c r="AE38" s="177" t="s">
        <v>16</v>
      </c>
      <c r="AF38" s="178">
        <v>0</v>
      </c>
      <c r="AH38" s="322"/>
      <c r="AI38"/>
      <c r="AJ38"/>
      <c r="AK38"/>
      <c r="AL38" s="5"/>
      <c r="AM38" s="322"/>
      <c r="AN38"/>
      <c r="AO38"/>
      <c r="AP38"/>
      <c r="AR38" s="176"/>
      <c r="AS38" s="177"/>
      <c r="AT38" s="178"/>
    </row>
    <row r="39" spans="1:82" ht="12.75" customHeight="1" x14ac:dyDescent="0.2">
      <c r="A39" s="470"/>
      <c r="B39" s="1"/>
      <c r="C39" s="202"/>
      <c r="D39" s="5">
        <v>4</v>
      </c>
      <c r="E39" s="400" t="str">
        <f>E14</f>
        <v>Monnie Represent</v>
      </c>
      <c r="F39" s="400"/>
      <c r="I39" s="5" t="s">
        <v>16</v>
      </c>
      <c r="J39" s="399" t="str">
        <f>E15</f>
        <v>IRRIDUCIBILI</v>
      </c>
      <c r="K39" s="399"/>
      <c r="O39" s="176">
        <v>2</v>
      </c>
      <c r="P39" s="177" t="s">
        <v>16</v>
      </c>
      <c r="Q39" s="178">
        <v>1</v>
      </c>
      <c r="S39" s="5"/>
      <c r="T39" s="400"/>
      <c r="U39" s="400"/>
      <c r="V39" s="203"/>
      <c r="W39" s="203"/>
      <c r="X39" s="5"/>
      <c r="Y39" s="399"/>
      <c r="Z39" s="399"/>
      <c r="AA39" s="203"/>
      <c r="AB39" s="203"/>
      <c r="AC39" s="203"/>
      <c r="AD39" s="176"/>
      <c r="AE39" s="177"/>
      <c r="AF39" s="178"/>
      <c r="AH39" s="322"/>
      <c r="AI39"/>
      <c r="AJ39"/>
      <c r="AK39"/>
      <c r="AL39" s="5"/>
      <c r="AM39" s="322"/>
      <c r="AN39" s="134"/>
      <c r="AO39" s="134"/>
      <c r="AP39" s="179"/>
      <c r="AR39" s="176"/>
      <c r="AS39" s="177"/>
      <c r="AT39" s="178"/>
    </row>
    <row r="40" spans="1:82" ht="12.75" customHeight="1" x14ac:dyDescent="0.2">
      <c r="A40" s="470"/>
      <c r="B40" s="1"/>
      <c r="C40" s="202"/>
      <c r="D40" s="5">
        <v>5</v>
      </c>
      <c r="E40" s="400" t="str">
        <f>L12</f>
        <v>Scherp Online</v>
      </c>
      <c r="F40" s="400"/>
      <c r="I40" s="5" t="s">
        <v>16</v>
      </c>
      <c r="J40" s="399" t="str">
        <f>L13</f>
        <v>Sammi's Sweathearts</v>
      </c>
      <c r="K40" s="399"/>
      <c r="O40" s="176">
        <v>2</v>
      </c>
      <c r="P40" s="177" t="s">
        <v>16</v>
      </c>
      <c r="Q40" s="178">
        <v>0</v>
      </c>
      <c r="S40" s="5">
        <v>5</v>
      </c>
      <c r="T40" s="400" t="str">
        <f>E5</f>
        <v>De Torpedo's</v>
      </c>
      <c r="U40" s="400"/>
      <c r="V40" s="203"/>
      <c r="W40" s="203"/>
      <c r="X40" s="5" t="s">
        <v>16</v>
      </c>
      <c r="Y40" s="399" t="str">
        <f>E8</f>
        <v xml:space="preserve">De Pintjes </v>
      </c>
      <c r="Z40" s="399"/>
      <c r="AA40" s="203"/>
      <c r="AB40" s="203"/>
      <c r="AC40" s="203"/>
      <c r="AD40" s="176">
        <v>4</v>
      </c>
      <c r="AE40" s="177" t="s">
        <v>16</v>
      </c>
      <c r="AF40" s="178">
        <v>0</v>
      </c>
      <c r="AI40" s="284"/>
    </row>
    <row r="41" spans="1:82" ht="12.75" customHeight="1" x14ac:dyDescent="0.2">
      <c r="A41" s="470"/>
      <c r="B41" s="1"/>
      <c r="C41" s="202"/>
      <c r="D41" s="5">
        <v>6</v>
      </c>
      <c r="E41" s="400" t="str">
        <f>L14</f>
        <v>#illuminaticonfirmed</v>
      </c>
      <c r="F41" s="400"/>
      <c r="I41" s="5" t="s">
        <v>16</v>
      </c>
      <c r="J41" s="399" t="str">
        <f>L15</f>
        <v>Fred Bacon Zalf-fabriekje</v>
      </c>
      <c r="K41" s="399"/>
      <c r="O41" s="176">
        <v>0</v>
      </c>
      <c r="P41" s="177" t="s">
        <v>16</v>
      </c>
      <c r="Q41" s="178">
        <v>0</v>
      </c>
      <c r="S41" s="5">
        <v>6</v>
      </c>
      <c r="T41" s="400" t="str">
        <f>E6</f>
        <v>Asvv de Schollevers</v>
      </c>
      <c r="U41" s="400"/>
      <c r="V41" s="203"/>
      <c r="W41" s="203"/>
      <c r="X41" s="5" t="s">
        <v>16</v>
      </c>
      <c r="Y41" s="399" t="str">
        <f>E9</f>
        <v>Het Bestuur</v>
      </c>
      <c r="Z41" s="399"/>
      <c r="AA41" s="203"/>
      <c r="AB41" s="203"/>
      <c r="AC41" s="203"/>
      <c r="AD41" s="176">
        <v>1</v>
      </c>
      <c r="AE41" s="177" t="s">
        <v>16</v>
      </c>
      <c r="AF41" s="178">
        <v>0</v>
      </c>
      <c r="AI41" s="284"/>
    </row>
    <row r="42" spans="1:82" ht="12.75" customHeight="1" x14ac:dyDescent="0.2">
      <c r="A42" s="470"/>
      <c r="B42" s="1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8"/>
      <c r="T42" s="8"/>
      <c r="U42" s="8"/>
      <c r="V42" s="134"/>
      <c r="W42" s="134"/>
      <c r="X42" s="8"/>
      <c r="Y42" s="8"/>
      <c r="Z42" s="1"/>
      <c r="AA42" s="134"/>
      <c r="AB42" s="179"/>
      <c r="AI42" s="284"/>
    </row>
    <row r="43" spans="1:82" ht="12.75" customHeight="1" x14ac:dyDescent="0.2">
      <c r="A43" s="470"/>
      <c r="B43" s="1"/>
      <c r="C43" s="202"/>
      <c r="D43" s="370" t="str">
        <f>START!B4</f>
        <v>11:00 - 11:15 uur</v>
      </c>
      <c r="E43" s="371"/>
      <c r="F43" s="371"/>
      <c r="G43" s="371"/>
      <c r="H43" s="371"/>
      <c r="I43" s="371"/>
      <c r="J43" s="371"/>
      <c r="K43" s="371"/>
      <c r="L43" s="371"/>
      <c r="M43" s="371"/>
      <c r="N43" s="371"/>
      <c r="O43" s="371"/>
      <c r="P43" s="371"/>
      <c r="Q43" s="369" t="s">
        <v>25</v>
      </c>
      <c r="R43" s="202"/>
      <c r="S43" s="370" t="str">
        <f>START!B9</f>
        <v>12:15 - 12:30 uur</v>
      </c>
      <c r="T43" s="371"/>
      <c r="U43" s="371"/>
      <c r="V43" s="371"/>
      <c r="W43" s="371"/>
      <c r="X43" s="371"/>
      <c r="Y43" s="371"/>
      <c r="Z43" s="371"/>
      <c r="AA43" s="371"/>
      <c r="AB43" s="371"/>
      <c r="AC43" s="371"/>
      <c r="AD43" s="371"/>
      <c r="AE43" s="371"/>
      <c r="AF43" s="369" t="s">
        <v>26</v>
      </c>
    </row>
    <row r="44" spans="1:82" ht="12.75" customHeight="1" x14ac:dyDescent="0.2">
      <c r="A44" s="470"/>
      <c r="B44" s="1"/>
      <c r="C44" s="202"/>
      <c r="D44" s="5">
        <v>1</v>
      </c>
      <c r="E44" s="400" t="str">
        <f>S12</f>
        <v>Correctie veld 4</v>
      </c>
      <c r="F44" s="400"/>
      <c r="I44" s="5" t="s">
        <v>16</v>
      </c>
      <c r="J44" s="399" t="str">
        <f>S13</f>
        <v>Combiwel</v>
      </c>
      <c r="K44" s="399"/>
      <c r="O44" s="176">
        <v>0</v>
      </c>
      <c r="P44" s="177" t="s">
        <v>16</v>
      </c>
      <c r="Q44" s="178">
        <v>1</v>
      </c>
      <c r="S44" s="5">
        <v>1</v>
      </c>
      <c r="T44" s="400" t="str">
        <f>T20</f>
        <v>Swift Dames</v>
      </c>
      <c r="U44" s="400"/>
      <c r="V44" s="203"/>
      <c r="W44" s="203"/>
      <c r="X44" s="5" t="s">
        <v>16</v>
      </c>
      <c r="Y44" s="399" t="str">
        <f>T21</f>
        <v>De Ronaldozen</v>
      </c>
      <c r="Z44" s="399"/>
      <c r="AA44" s="203"/>
      <c r="AB44" s="203"/>
      <c r="AC44" s="203"/>
      <c r="AD44" s="176">
        <v>1</v>
      </c>
      <c r="AE44" s="177" t="s">
        <v>16</v>
      </c>
      <c r="AF44" s="178">
        <v>1</v>
      </c>
      <c r="AI44" s="211"/>
    </row>
    <row r="45" spans="1:82" ht="12.75" customHeight="1" x14ac:dyDescent="0.2">
      <c r="A45" s="470"/>
      <c r="B45" s="1"/>
      <c r="C45" s="202"/>
      <c r="D45" s="5">
        <v>2</v>
      </c>
      <c r="E45" s="400" t="str">
        <f>S14</f>
        <v>Patti don't shout @ me</v>
      </c>
      <c r="F45" s="400"/>
      <c r="I45" s="5" t="s">
        <v>16</v>
      </c>
      <c r="J45" s="399" t="str">
        <f>S15</f>
        <v>Swiffie 5</v>
      </c>
      <c r="K45" s="399"/>
      <c r="O45" s="176">
        <v>2</v>
      </c>
      <c r="P45" s="177" t="s">
        <v>16</v>
      </c>
      <c r="Q45" s="178">
        <v>2</v>
      </c>
      <c r="S45" s="5">
        <v>2</v>
      </c>
      <c r="T45" s="400" t="str">
        <f>T22</f>
        <v>AntiLope</v>
      </c>
      <c r="U45" s="400"/>
      <c r="V45" s="203"/>
      <c r="W45" s="203"/>
      <c r="X45" s="5" t="s">
        <v>16</v>
      </c>
      <c r="Y45" s="399" t="str">
        <f>T23</f>
        <v>Mysterieuze Missers</v>
      </c>
      <c r="Z45" s="399"/>
      <c r="AA45" s="203"/>
      <c r="AB45" s="203"/>
      <c r="AC45" s="203"/>
      <c r="AD45" s="176">
        <v>0</v>
      </c>
      <c r="AE45" s="177" t="s">
        <v>16</v>
      </c>
      <c r="AF45" s="178">
        <v>0</v>
      </c>
    </row>
    <row r="46" spans="1:82" ht="12.75" customHeight="1" x14ac:dyDescent="0.2">
      <c r="A46" s="470"/>
      <c r="B46" s="1"/>
      <c r="C46" s="202"/>
      <c r="D46" s="5">
        <v>3</v>
      </c>
      <c r="E46" s="400" t="str">
        <f>Z12</f>
        <v>FC Isjeneefer</v>
      </c>
      <c r="F46" s="400"/>
      <c r="I46" s="5" t="s">
        <v>16</v>
      </c>
      <c r="J46" s="399" t="str">
        <f>Z13</f>
        <v>Kampongveldert</v>
      </c>
      <c r="K46" s="399"/>
      <c r="O46" s="176">
        <v>0</v>
      </c>
      <c r="P46" s="177" t="s">
        <v>16</v>
      </c>
      <c r="Q46" s="178">
        <v>2</v>
      </c>
      <c r="S46" s="5">
        <v>3</v>
      </c>
      <c r="T46" s="400" t="str">
        <f>L5</f>
        <v>De Doofpot</v>
      </c>
      <c r="U46" s="400"/>
      <c r="V46" s="203"/>
      <c r="W46" s="203"/>
      <c r="X46" s="5" t="s">
        <v>16</v>
      </c>
      <c r="Y46" s="399" t="str">
        <f>L8</f>
        <v>Swift Zondag 11</v>
      </c>
      <c r="Z46" s="399"/>
      <c r="AA46" s="203"/>
      <c r="AB46" s="203"/>
      <c r="AC46" s="203"/>
      <c r="AD46" s="176">
        <v>8</v>
      </c>
      <c r="AE46" s="177" t="s">
        <v>16</v>
      </c>
      <c r="AF46" s="178">
        <v>0</v>
      </c>
    </row>
    <row r="47" spans="1:82" ht="12.75" customHeight="1" x14ac:dyDescent="0.2">
      <c r="A47" s="470"/>
      <c r="B47" s="1"/>
      <c r="C47" s="202"/>
      <c r="D47" s="5">
        <v>4</v>
      </c>
      <c r="E47" s="400" t="str">
        <f>Z14</f>
        <v>Orion</v>
      </c>
      <c r="F47" s="400"/>
      <c r="I47" s="5" t="s">
        <v>16</v>
      </c>
      <c r="J47" s="399" t="str">
        <f>Z15</f>
        <v>Wart6</v>
      </c>
      <c r="K47" s="399"/>
      <c r="O47" s="176">
        <v>0</v>
      </c>
      <c r="P47" s="177" t="s">
        <v>16</v>
      </c>
      <c r="Q47" s="178">
        <v>4</v>
      </c>
      <c r="S47" s="5">
        <v>4</v>
      </c>
      <c r="T47" s="400" t="str">
        <f>L6</f>
        <v>Fons Vitaeplein</v>
      </c>
      <c r="U47" s="400"/>
      <c r="V47" s="203"/>
      <c r="W47" s="203"/>
      <c r="X47" s="5" t="s">
        <v>16</v>
      </c>
      <c r="Y47" s="399" t="str">
        <f>L9</f>
        <v>Vrienden van Van Essen</v>
      </c>
      <c r="Z47" s="399"/>
      <c r="AA47" s="203"/>
      <c r="AB47" s="203"/>
      <c r="AC47" s="203"/>
      <c r="AD47" s="176">
        <v>4</v>
      </c>
      <c r="AE47" s="177" t="s">
        <v>16</v>
      </c>
      <c r="AF47" s="178">
        <v>0</v>
      </c>
    </row>
    <row r="48" spans="1:82" ht="12.75" customHeight="1" x14ac:dyDescent="0.2">
      <c r="A48" s="470"/>
      <c r="B48" s="1"/>
      <c r="C48" s="202"/>
      <c r="D48" s="5">
        <v>5</v>
      </c>
      <c r="E48" s="400" t="str">
        <f>E5</f>
        <v>De Torpedo's</v>
      </c>
      <c r="F48" s="400"/>
      <c r="I48" s="5" t="s">
        <v>16</v>
      </c>
      <c r="J48" s="399" t="str">
        <f>E7</f>
        <v>AccentSport Rakkers</v>
      </c>
      <c r="K48" s="399"/>
      <c r="O48" s="176">
        <v>2</v>
      </c>
      <c r="P48" s="177" t="s">
        <v>16</v>
      </c>
      <c r="Q48" s="178">
        <v>2</v>
      </c>
      <c r="S48" s="5">
        <v>5</v>
      </c>
      <c r="T48" s="400" t="str">
        <f>S5</f>
        <v>De Kabel</v>
      </c>
      <c r="U48" s="400"/>
      <c r="V48" s="203"/>
      <c r="W48" s="203"/>
      <c r="X48" s="5" t="s">
        <v>16</v>
      </c>
      <c r="Y48" s="399" t="str">
        <f>S8</f>
        <v>Jenever op de Schinkel</v>
      </c>
      <c r="Z48" s="399"/>
      <c r="AA48" s="203"/>
      <c r="AB48" s="203"/>
      <c r="AC48" s="203"/>
      <c r="AD48" s="176">
        <v>5</v>
      </c>
      <c r="AE48" s="177" t="s">
        <v>16</v>
      </c>
      <c r="AF48" s="178">
        <v>0</v>
      </c>
    </row>
    <row r="49" spans="1:45" ht="12.75" customHeight="1" x14ac:dyDescent="0.2">
      <c r="A49" s="470"/>
      <c r="B49" s="1"/>
      <c r="C49" s="202"/>
      <c r="D49" s="5">
        <v>6</v>
      </c>
      <c r="E49" s="400" t="str">
        <f>E8</f>
        <v xml:space="preserve">De Pintjes </v>
      </c>
      <c r="F49" s="400"/>
      <c r="I49" s="5" t="s">
        <v>16</v>
      </c>
      <c r="J49" s="399" t="str">
        <f>E9</f>
        <v>Het Bestuur</v>
      </c>
      <c r="K49" s="399"/>
      <c r="O49" s="176">
        <v>3</v>
      </c>
      <c r="P49" s="177" t="s">
        <v>16</v>
      </c>
      <c r="Q49" s="178">
        <v>2</v>
      </c>
      <c r="S49" s="5">
        <v>6</v>
      </c>
      <c r="T49" s="400" t="str">
        <f>S6</f>
        <v>Om des Keijzers baerdt</v>
      </c>
      <c r="U49" s="400"/>
      <c r="V49" s="203"/>
      <c r="W49" s="203"/>
      <c r="X49" s="5" t="s">
        <v>16</v>
      </c>
      <c r="Y49" s="399" t="str">
        <f>S9</f>
        <v>Amsterdam Finest ss16</v>
      </c>
      <c r="Z49" s="399"/>
      <c r="AA49" s="203"/>
      <c r="AB49" s="203"/>
      <c r="AC49" s="203"/>
      <c r="AD49" s="176">
        <v>1</v>
      </c>
      <c r="AE49" s="177" t="s">
        <v>16</v>
      </c>
      <c r="AF49" s="178">
        <v>2</v>
      </c>
    </row>
    <row r="50" spans="1:45" ht="12.75" customHeight="1" x14ac:dyDescent="0.2">
      <c r="A50" s="470"/>
      <c r="B50" s="1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1"/>
      <c r="T50" s="1"/>
      <c r="U50" s="1"/>
      <c r="V50" s="134"/>
      <c r="W50" s="134"/>
      <c r="X50" s="1"/>
      <c r="Y50" s="1"/>
      <c r="Z50" s="1"/>
      <c r="AA50" s="134"/>
      <c r="AB50" s="179"/>
    </row>
    <row r="51" spans="1:45" ht="12.75" customHeight="1" x14ac:dyDescent="0.2">
      <c r="A51" s="470"/>
      <c r="B51" s="1"/>
      <c r="C51" s="202"/>
      <c r="D51" s="370" t="str">
        <f>START!B5</f>
        <v>11:15 - 11:30 uur</v>
      </c>
      <c r="E51" s="371"/>
      <c r="F51" s="371"/>
      <c r="G51" s="371"/>
      <c r="H51" s="371"/>
      <c r="I51" s="371"/>
      <c r="J51" s="371"/>
      <c r="K51" s="371"/>
      <c r="L51" s="371"/>
      <c r="M51" s="371"/>
      <c r="N51" s="371"/>
      <c r="O51" s="371"/>
      <c r="P51" s="371"/>
      <c r="Q51" s="369" t="s">
        <v>27</v>
      </c>
      <c r="R51" s="202"/>
      <c r="S51" s="370" t="str">
        <f>START!B10</f>
        <v>12:30 - 12:45 uur</v>
      </c>
      <c r="T51" s="371"/>
      <c r="U51" s="371"/>
      <c r="V51" s="371"/>
      <c r="W51" s="371"/>
      <c r="X51" s="371"/>
      <c r="Y51" s="371"/>
      <c r="Z51" s="371"/>
      <c r="AA51" s="371"/>
      <c r="AB51" s="371"/>
      <c r="AC51" s="371"/>
      <c r="AD51" s="371"/>
      <c r="AE51" s="371"/>
      <c r="AF51" s="369" t="s">
        <v>28</v>
      </c>
    </row>
    <row r="52" spans="1:45" ht="12.75" customHeight="1" x14ac:dyDescent="0.2">
      <c r="A52" s="470"/>
      <c r="B52" s="1"/>
      <c r="C52" s="202"/>
      <c r="D52" s="5">
        <v>1</v>
      </c>
      <c r="E52" s="400" t="str">
        <f>F20</f>
        <v>Pilsmaten</v>
      </c>
      <c r="F52" s="400"/>
      <c r="I52" s="5" t="s">
        <v>16</v>
      </c>
      <c r="J52" s="399" t="str">
        <f>F21</f>
        <v>Geuzenmiddenmeer</v>
      </c>
      <c r="K52" s="399"/>
      <c r="O52" s="176">
        <v>0</v>
      </c>
      <c r="P52" s="177" t="s">
        <v>16</v>
      </c>
      <c r="Q52" s="178">
        <v>2</v>
      </c>
      <c r="S52" s="5">
        <v>1</v>
      </c>
      <c r="T52" s="400" t="str">
        <f>AA20</f>
        <v>Borrelnood</v>
      </c>
      <c r="U52" s="400"/>
      <c r="V52" s="203"/>
      <c r="W52" s="203"/>
      <c r="X52" s="5" t="s">
        <v>16</v>
      </c>
      <c r="Y52" s="399" t="str">
        <f>AA21</f>
        <v>De Chouffjes</v>
      </c>
      <c r="Z52" s="399"/>
      <c r="AA52" s="203"/>
      <c r="AB52" s="203"/>
      <c r="AC52" s="203"/>
      <c r="AD52" s="176">
        <v>1</v>
      </c>
      <c r="AE52" s="177" t="s">
        <v>16</v>
      </c>
      <c r="AF52" s="178">
        <v>1</v>
      </c>
    </row>
    <row r="53" spans="1:45" ht="12.75" customHeight="1" x14ac:dyDescent="0.2">
      <c r="A53" s="470"/>
      <c r="B53" s="1"/>
      <c r="C53" s="202"/>
      <c r="D53" s="5">
        <v>2</v>
      </c>
      <c r="E53" s="400" t="str">
        <f>F22</f>
        <v>TEC-BTV</v>
      </c>
      <c r="F53" s="400"/>
      <c r="I53" s="5" t="s">
        <v>16</v>
      </c>
      <c r="J53" s="399" t="str">
        <f>F23</f>
        <v>Rap</v>
      </c>
      <c r="K53" s="399"/>
      <c r="O53" s="176">
        <v>5</v>
      </c>
      <c r="P53" s="177" t="s">
        <v>16</v>
      </c>
      <c r="Q53" s="178">
        <v>1</v>
      </c>
      <c r="S53" s="5">
        <v>2</v>
      </c>
      <c r="T53" s="400" t="str">
        <f>AA22</f>
        <v>De Vedettjes</v>
      </c>
      <c r="U53" s="400"/>
      <c r="V53" s="203"/>
      <c r="W53" s="203"/>
      <c r="X53" s="5" t="s">
        <v>16</v>
      </c>
      <c r="Y53" s="399" t="str">
        <f>AA23</f>
        <v>RAP 2</v>
      </c>
      <c r="Z53" s="399"/>
      <c r="AA53" s="203"/>
      <c r="AB53" s="203"/>
      <c r="AC53" s="203"/>
      <c r="AD53" s="176">
        <v>0</v>
      </c>
      <c r="AE53" s="177" t="s">
        <v>16</v>
      </c>
      <c r="AF53" s="178">
        <v>2</v>
      </c>
    </row>
    <row r="54" spans="1:45" ht="12.75" customHeight="1" x14ac:dyDescent="0.2">
      <c r="A54" s="470"/>
      <c r="B54" s="1"/>
      <c r="C54" s="202"/>
      <c r="D54" s="5">
        <v>3</v>
      </c>
      <c r="E54" s="400" t="str">
        <f>L5</f>
        <v>De Doofpot</v>
      </c>
      <c r="F54" s="400"/>
      <c r="I54" s="5" t="s">
        <v>16</v>
      </c>
      <c r="J54" s="399" t="str">
        <f>L7</f>
        <v>De Flitsers 3</v>
      </c>
      <c r="K54" s="399"/>
      <c r="O54" s="176">
        <v>2</v>
      </c>
      <c r="P54" s="177" t="s">
        <v>16</v>
      </c>
      <c r="Q54" s="178">
        <v>0</v>
      </c>
      <c r="S54" s="5">
        <v>3</v>
      </c>
      <c r="T54" s="400" t="str">
        <f>Z5</f>
        <v>IAMB&amp;B</v>
      </c>
      <c r="U54" s="400"/>
      <c r="V54" s="203"/>
      <c r="W54" s="203"/>
      <c r="X54" s="5" t="s">
        <v>16</v>
      </c>
      <c r="Y54" s="399" t="str">
        <f>Z8</f>
        <v>FC EPERNAY</v>
      </c>
      <c r="Z54" s="399"/>
      <c r="AA54" s="203"/>
      <c r="AB54" s="203"/>
      <c r="AC54" s="203"/>
      <c r="AD54" s="176">
        <v>0</v>
      </c>
      <c r="AE54" s="177" t="s">
        <v>16</v>
      </c>
      <c r="AF54" s="178">
        <v>1</v>
      </c>
    </row>
    <row r="55" spans="1:45" ht="12.75" customHeight="1" x14ac:dyDescent="0.2">
      <c r="A55" s="470"/>
      <c r="B55" s="1"/>
      <c r="C55" s="202"/>
      <c r="D55" s="5">
        <v>4</v>
      </c>
      <c r="E55" s="400" t="str">
        <f>L8</f>
        <v>Swift Zondag 11</v>
      </c>
      <c r="F55" s="400"/>
      <c r="I55" s="5"/>
      <c r="J55" s="399" t="str">
        <f>L9</f>
        <v>Vrienden van Van Essen</v>
      </c>
      <c r="K55" s="399"/>
      <c r="O55" s="176">
        <v>2</v>
      </c>
      <c r="P55" s="177" t="s">
        <v>16</v>
      </c>
      <c r="Q55" s="178">
        <v>0</v>
      </c>
      <c r="S55" s="5">
        <v>4</v>
      </c>
      <c r="T55" s="400" t="str">
        <f>Z6</f>
        <v>FC Papa</v>
      </c>
      <c r="U55" s="400"/>
      <c r="V55" s="203"/>
      <c r="W55" s="203"/>
      <c r="X55" s="5" t="s">
        <v>16</v>
      </c>
      <c r="Y55" s="399" t="str">
        <f>Z9</f>
        <v>FC Vondelpark</v>
      </c>
      <c r="Z55" s="399"/>
      <c r="AA55" s="203"/>
      <c r="AB55" s="203"/>
      <c r="AC55" s="203"/>
      <c r="AD55" s="176">
        <v>2</v>
      </c>
      <c r="AE55" s="177" t="s">
        <v>16</v>
      </c>
      <c r="AF55" s="178">
        <v>2</v>
      </c>
    </row>
    <row r="56" spans="1:45" ht="12.75" customHeight="1" x14ac:dyDescent="0.2">
      <c r="A56" s="470"/>
      <c r="B56" s="1"/>
      <c r="C56" s="202"/>
      <c r="D56" s="5">
        <v>5</v>
      </c>
      <c r="E56" s="400" t="str">
        <f>S5</f>
        <v>De Kabel</v>
      </c>
      <c r="F56" s="400"/>
      <c r="I56" s="5" t="s">
        <v>16</v>
      </c>
      <c r="J56" s="399" t="str">
        <f>S7</f>
        <v>Team Bombert</v>
      </c>
      <c r="K56" s="399"/>
      <c r="O56" s="176">
        <v>1</v>
      </c>
      <c r="P56" s="177" t="s">
        <v>16</v>
      </c>
      <c r="Q56" s="178">
        <v>1</v>
      </c>
      <c r="S56" s="5">
        <v>5</v>
      </c>
      <c r="T56" s="400" t="str">
        <f>E12</f>
        <v>Carte blanche</v>
      </c>
      <c r="U56" s="400"/>
      <c r="V56" s="203"/>
      <c r="W56" s="203"/>
      <c r="X56" s="5" t="s">
        <v>16</v>
      </c>
      <c r="Y56" s="399" t="str">
        <f>E15</f>
        <v>IRRIDUCIBILI</v>
      </c>
      <c r="Z56" s="399"/>
      <c r="AA56" s="203"/>
      <c r="AB56" s="203"/>
      <c r="AC56" s="203"/>
      <c r="AD56" s="176">
        <v>1</v>
      </c>
      <c r="AE56" s="177" t="s">
        <v>16</v>
      </c>
      <c r="AF56" s="178">
        <v>0</v>
      </c>
      <c r="AI56" s="284"/>
    </row>
    <row r="57" spans="1:45" ht="12.75" customHeight="1" x14ac:dyDescent="0.2">
      <c r="A57" s="470"/>
      <c r="B57" s="1"/>
      <c r="C57" s="202"/>
      <c r="D57" s="5">
        <v>6</v>
      </c>
      <c r="E57" s="400" t="str">
        <f>S8</f>
        <v>Jenever op de Schinkel</v>
      </c>
      <c r="F57" s="400"/>
      <c r="I57" s="5"/>
      <c r="J57" s="399" t="str">
        <f>S9</f>
        <v>Amsterdam Finest ss16</v>
      </c>
      <c r="K57" s="399"/>
      <c r="O57" s="176">
        <v>0</v>
      </c>
      <c r="P57" s="177" t="s">
        <v>16</v>
      </c>
      <c r="Q57" s="178">
        <v>2</v>
      </c>
      <c r="S57" s="5">
        <v>6</v>
      </c>
      <c r="T57" s="400" t="str">
        <f>E13</f>
        <v>MAN ON F.C</v>
      </c>
      <c r="U57" s="400"/>
      <c r="V57" s="203"/>
      <c r="W57" s="203"/>
      <c r="X57" s="5" t="s">
        <v>16</v>
      </c>
      <c r="Y57" s="399" t="str">
        <f>E16</f>
        <v>FC Carnabal</v>
      </c>
      <c r="Z57" s="399"/>
      <c r="AA57" s="203"/>
      <c r="AB57" s="203"/>
      <c r="AC57" s="203"/>
      <c r="AD57" s="176">
        <v>0</v>
      </c>
      <c r="AE57" s="177" t="s">
        <v>16</v>
      </c>
      <c r="AF57" s="178">
        <v>1</v>
      </c>
      <c r="AI57" s="284"/>
    </row>
    <row r="58" spans="1:45" ht="12.75" customHeight="1" x14ac:dyDescent="0.2">
      <c r="A58" s="470"/>
      <c r="B58" s="1"/>
      <c r="C58" s="202"/>
      <c r="D58" s="1"/>
      <c r="E58" s="1"/>
      <c r="F58" s="1"/>
      <c r="G58" s="202"/>
      <c r="H58" s="202"/>
      <c r="I58" s="1"/>
      <c r="J58" s="1"/>
      <c r="K58" s="1"/>
      <c r="L58" s="202"/>
      <c r="M58" s="202"/>
      <c r="N58" s="202"/>
      <c r="O58" s="202"/>
      <c r="P58" s="202"/>
      <c r="Q58" s="202"/>
      <c r="R58" s="202"/>
      <c r="S58" s="1"/>
      <c r="T58" s="1"/>
      <c r="U58" s="1"/>
      <c r="V58" s="134"/>
      <c r="W58" s="134"/>
      <c r="X58" s="1"/>
      <c r="Y58" s="1"/>
      <c r="Z58" s="1"/>
      <c r="AA58" s="134"/>
      <c r="AB58" s="179"/>
      <c r="AI58" s="284"/>
    </row>
    <row r="59" spans="1:45" ht="12.75" customHeight="1" x14ac:dyDescent="0.2">
      <c r="A59" s="470"/>
      <c r="B59" s="1"/>
      <c r="C59" s="202"/>
      <c r="D59" s="370" t="str">
        <f>START!B6</f>
        <v>11:30 - 11:45 uur</v>
      </c>
      <c r="E59" s="371"/>
      <c r="F59" s="371"/>
      <c r="G59" s="371"/>
      <c r="H59" s="371"/>
      <c r="I59" s="371"/>
      <c r="J59" s="371"/>
      <c r="K59" s="371"/>
      <c r="L59" s="371"/>
      <c r="M59" s="371"/>
      <c r="N59" s="371"/>
      <c r="O59" s="371"/>
      <c r="P59" s="371"/>
      <c r="Q59" s="369" t="s">
        <v>29</v>
      </c>
      <c r="R59" s="202"/>
      <c r="S59" s="370" t="str">
        <f>START!B11</f>
        <v>12:45 - 13:00 uur</v>
      </c>
      <c r="T59" s="371"/>
      <c r="U59" s="371"/>
      <c r="V59" s="371"/>
      <c r="W59" s="371"/>
      <c r="X59" s="371"/>
      <c r="Y59" s="371"/>
      <c r="Z59" s="371"/>
      <c r="AA59" s="371"/>
      <c r="AB59" s="371"/>
      <c r="AC59" s="371"/>
      <c r="AD59" s="371"/>
      <c r="AE59" s="371"/>
      <c r="AF59" s="369" t="s">
        <v>30</v>
      </c>
    </row>
    <row r="60" spans="1:45" ht="12.75" customHeight="1" x14ac:dyDescent="0.2">
      <c r="A60" s="470"/>
      <c r="B60" s="1"/>
      <c r="C60" s="202"/>
      <c r="D60" s="5">
        <v>1</v>
      </c>
      <c r="E60" s="400" t="str">
        <f>M20</f>
        <v>De Westfriesies</v>
      </c>
      <c r="F60" s="400"/>
      <c r="I60" s="5" t="s">
        <v>16</v>
      </c>
      <c r="J60" s="399" t="str">
        <f>M21</f>
        <v>About to get Messi</v>
      </c>
      <c r="K60" s="399"/>
      <c r="O60" s="176">
        <v>2</v>
      </c>
      <c r="P60" s="177" t="s">
        <v>16</v>
      </c>
      <c r="Q60" s="178">
        <v>0</v>
      </c>
      <c r="S60" s="5">
        <v>1</v>
      </c>
      <c r="T60" s="400" t="str">
        <f>F20</f>
        <v>Pilsmaten</v>
      </c>
      <c r="U60" s="400"/>
      <c r="V60" s="203"/>
      <c r="W60" s="203"/>
      <c r="X60" s="5" t="s">
        <v>16</v>
      </c>
      <c r="Y60" s="399" t="str">
        <f>F23</f>
        <v>Rap</v>
      </c>
      <c r="Z60" s="399"/>
      <c r="AA60" s="203"/>
      <c r="AB60" s="203"/>
      <c r="AC60" s="203"/>
      <c r="AD60" s="176">
        <v>3</v>
      </c>
      <c r="AE60" s="177" t="s">
        <v>16</v>
      </c>
      <c r="AF60" s="178">
        <v>0</v>
      </c>
      <c r="AI60" s="210"/>
      <c r="AM60" s="329"/>
    </row>
    <row r="61" spans="1:45" ht="12.75" customHeight="1" x14ac:dyDescent="0.2">
      <c r="A61" s="470"/>
      <c r="B61" s="1"/>
      <c r="C61" s="202"/>
      <c r="D61" s="5">
        <v>2</v>
      </c>
      <c r="E61" s="400" t="str">
        <f>M22</f>
        <v>AMVJ</v>
      </c>
      <c r="F61" s="400"/>
      <c r="I61" s="5" t="s">
        <v>16</v>
      </c>
      <c r="J61" s="399" t="str">
        <f>M23</f>
        <v>KFC zaterdag VR 35+</v>
      </c>
      <c r="K61" s="399"/>
      <c r="O61" s="176">
        <v>1</v>
      </c>
      <c r="P61" s="177" t="s">
        <v>16</v>
      </c>
      <c r="Q61" s="178">
        <v>1</v>
      </c>
      <c r="S61" s="5">
        <v>2</v>
      </c>
      <c r="T61" s="400" t="str">
        <f>F21</f>
        <v>Geuzenmiddenmeer</v>
      </c>
      <c r="U61" s="400"/>
      <c r="V61" s="203"/>
      <c r="W61" s="203"/>
      <c r="X61" s="5" t="s">
        <v>16</v>
      </c>
      <c r="Y61" s="399" t="str">
        <f>F24</f>
        <v>De Dinkies</v>
      </c>
      <c r="Z61" s="399"/>
      <c r="AA61" s="203"/>
      <c r="AB61" s="203"/>
      <c r="AC61" s="203"/>
      <c r="AD61" s="176">
        <v>1</v>
      </c>
      <c r="AE61" s="177" t="s">
        <v>16</v>
      </c>
      <c r="AF61" s="178">
        <v>0</v>
      </c>
      <c r="AI61" s="284"/>
    </row>
    <row r="62" spans="1:45" ht="12.75" customHeight="1" x14ac:dyDescent="0.2">
      <c r="A62" s="470"/>
      <c r="B62" s="1"/>
      <c r="C62" s="202"/>
      <c r="D62" s="5">
        <v>3</v>
      </c>
      <c r="E62" s="400" t="str">
        <f>Z5</f>
        <v>IAMB&amp;B</v>
      </c>
      <c r="F62" s="400"/>
      <c r="I62" s="5" t="s">
        <v>16</v>
      </c>
      <c r="J62" s="399" t="str">
        <f>Z7</f>
        <v>Veddetero's klunzen</v>
      </c>
      <c r="K62" s="399"/>
      <c r="O62" s="176">
        <v>3</v>
      </c>
      <c r="P62" s="177" t="s">
        <v>16</v>
      </c>
      <c r="Q62" s="178">
        <v>1</v>
      </c>
      <c r="S62" s="5">
        <v>3</v>
      </c>
      <c r="T62" s="400" t="str">
        <f>L12</f>
        <v>Scherp Online</v>
      </c>
      <c r="U62" s="400"/>
      <c r="V62" s="203"/>
      <c r="W62" s="203"/>
      <c r="X62" s="5" t="s">
        <v>16</v>
      </c>
      <c r="Y62" s="399" t="str">
        <f>L15</f>
        <v>Fred Bacon Zalf-fabriekje</v>
      </c>
      <c r="Z62" s="399"/>
      <c r="AA62" s="203"/>
      <c r="AB62" s="203"/>
      <c r="AC62" s="203"/>
      <c r="AD62" s="176">
        <v>1</v>
      </c>
      <c r="AE62" s="177" t="s">
        <v>16</v>
      </c>
      <c r="AF62" s="178">
        <v>0</v>
      </c>
      <c r="AI62" s="284"/>
    </row>
    <row r="63" spans="1:45" ht="12.75" customHeight="1" x14ac:dyDescent="0.2">
      <c r="A63" s="470"/>
      <c r="B63" s="1"/>
      <c r="C63" s="202"/>
      <c r="D63" s="5">
        <v>4</v>
      </c>
      <c r="E63" s="400" t="str">
        <f>Z8</f>
        <v>FC EPERNAY</v>
      </c>
      <c r="F63" s="400"/>
      <c r="I63" s="5" t="s">
        <v>16</v>
      </c>
      <c r="J63" s="399" t="str">
        <f>Z9</f>
        <v>FC Vondelpark</v>
      </c>
      <c r="K63" s="399"/>
      <c r="O63" s="176">
        <v>4</v>
      </c>
      <c r="P63" s="177" t="s">
        <v>16</v>
      </c>
      <c r="Q63" s="178">
        <v>0</v>
      </c>
      <c r="S63" s="5">
        <v>4</v>
      </c>
      <c r="T63" s="400" t="str">
        <f>L13</f>
        <v>Sammi's Sweathearts</v>
      </c>
      <c r="U63" s="400"/>
      <c r="V63" s="203"/>
      <c r="W63" s="203"/>
      <c r="X63" s="5" t="s">
        <v>16</v>
      </c>
      <c r="Y63" s="399" t="str">
        <f>L16</f>
        <v>Team Bublé</v>
      </c>
      <c r="Z63" s="399"/>
      <c r="AA63" s="203"/>
      <c r="AB63" s="203"/>
      <c r="AC63" s="203"/>
      <c r="AD63" s="176">
        <v>2</v>
      </c>
      <c r="AE63" s="177" t="s">
        <v>16</v>
      </c>
      <c r="AF63" s="178">
        <v>1</v>
      </c>
      <c r="AG63" s="400" t="str">
        <f>E9</f>
        <v>Het Bestuur</v>
      </c>
      <c r="AH63" s="400"/>
      <c r="AI63" s="203"/>
      <c r="AJ63" s="203"/>
      <c r="AK63" s="5" t="s">
        <v>16</v>
      </c>
      <c r="AL63" s="399" t="str">
        <f>E6</f>
        <v>Asvv de Schollevers</v>
      </c>
      <c r="AM63" s="399"/>
      <c r="AN63" s="203"/>
      <c r="AO63" s="203"/>
      <c r="AP63" s="203"/>
      <c r="AQ63" s="176" t="s">
        <v>17</v>
      </c>
      <c r="AR63" s="177" t="s">
        <v>16</v>
      </c>
      <c r="AS63" s="178" t="s">
        <v>17</v>
      </c>
    </row>
    <row r="64" spans="1:45" ht="12.75" customHeight="1" x14ac:dyDescent="0.2">
      <c r="A64" s="470"/>
      <c r="B64" s="1"/>
      <c r="C64" s="202"/>
      <c r="D64" s="5">
        <v>5</v>
      </c>
      <c r="E64" s="400" t="str">
        <f>E12</f>
        <v>Carte blanche</v>
      </c>
      <c r="F64" s="400"/>
      <c r="I64" s="5" t="s">
        <v>16</v>
      </c>
      <c r="J64" s="399" t="str">
        <f>E14</f>
        <v>Monnie Represent</v>
      </c>
      <c r="K64" s="399"/>
      <c r="O64" s="176">
        <v>2</v>
      </c>
      <c r="P64" s="177" t="s">
        <v>16</v>
      </c>
      <c r="Q64" s="178">
        <v>0</v>
      </c>
      <c r="S64" s="5">
        <v>5</v>
      </c>
      <c r="T64" s="400" t="str">
        <f>S12</f>
        <v>Correctie veld 4</v>
      </c>
      <c r="U64" s="400"/>
      <c r="V64" s="203"/>
      <c r="W64" s="203"/>
      <c r="X64" s="5" t="s">
        <v>16</v>
      </c>
      <c r="Y64" s="399" t="str">
        <f>S15</f>
        <v>Swiffie 5</v>
      </c>
      <c r="Z64" s="399"/>
      <c r="AA64" s="203"/>
      <c r="AB64" s="203"/>
      <c r="AC64" s="203"/>
      <c r="AD64" s="176">
        <v>2</v>
      </c>
      <c r="AE64" s="177" t="s">
        <v>16</v>
      </c>
      <c r="AF64" s="178">
        <v>0</v>
      </c>
      <c r="AG64" s="203"/>
      <c r="AH64" s="203"/>
      <c r="AI64" s="203"/>
      <c r="AJ64" s="203"/>
      <c r="AK64" s="203"/>
      <c r="AL64" s="203"/>
      <c r="AM64" s="203"/>
      <c r="AN64" s="203"/>
      <c r="AO64" s="203"/>
      <c r="AP64" s="203"/>
      <c r="AQ64" s="203"/>
      <c r="AR64" s="203"/>
      <c r="AS64" s="203"/>
    </row>
    <row r="65" spans="1:45" ht="12.75" customHeight="1" x14ac:dyDescent="0.2">
      <c r="A65" s="470"/>
      <c r="B65" s="1"/>
      <c r="C65" s="202"/>
      <c r="D65" s="5">
        <v>6</v>
      </c>
      <c r="E65" s="400" t="str">
        <f>E15</f>
        <v>IRRIDUCIBILI</v>
      </c>
      <c r="F65" s="400"/>
      <c r="I65" s="5" t="s">
        <v>16</v>
      </c>
      <c r="J65" s="399" t="str">
        <f>E16</f>
        <v>FC Carnabal</v>
      </c>
      <c r="K65" s="399"/>
      <c r="O65" s="176">
        <v>0</v>
      </c>
      <c r="P65" s="177" t="s">
        <v>16</v>
      </c>
      <c r="Q65" s="178">
        <v>2</v>
      </c>
      <c r="S65" s="5">
        <v>6</v>
      </c>
      <c r="T65" s="400" t="str">
        <f>S13</f>
        <v>Combiwel</v>
      </c>
      <c r="U65" s="400"/>
      <c r="V65" s="203"/>
      <c r="W65" s="203"/>
      <c r="X65" s="5" t="s">
        <v>16</v>
      </c>
      <c r="Y65" s="399" t="str">
        <f>S16</f>
        <v>Sporting Almere</v>
      </c>
      <c r="Z65" s="399"/>
      <c r="AA65" s="203"/>
      <c r="AB65" s="203"/>
      <c r="AC65" s="203"/>
      <c r="AD65" s="176">
        <v>3</v>
      </c>
      <c r="AE65" s="177" t="s">
        <v>16</v>
      </c>
      <c r="AF65" s="178">
        <v>0</v>
      </c>
      <c r="AG65" s="400" t="str">
        <f>L9</f>
        <v>Vrienden van Van Essen</v>
      </c>
      <c r="AH65" s="400"/>
      <c r="AI65" s="203"/>
      <c r="AJ65" s="203"/>
      <c r="AK65" s="5" t="s">
        <v>16</v>
      </c>
      <c r="AL65" s="399" t="str">
        <f>L6</f>
        <v>Fons Vitaeplein</v>
      </c>
      <c r="AM65" s="399"/>
      <c r="AN65" s="203"/>
      <c r="AO65" s="203"/>
      <c r="AP65" s="203"/>
      <c r="AQ65" s="176" t="s">
        <v>17</v>
      </c>
      <c r="AR65" s="177" t="s">
        <v>16</v>
      </c>
      <c r="AS65" s="178" t="s">
        <v>17</v>
      </c>
    </row>
    <row r="66" spans="1:45" ht="12" customHeight="1" x14ac:dyDescent="0.2">
      <c r="A66" s="470"/>
      <c r="B66" s="1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312"/>
      <c r="T66" s="1"/>
      <c r="U66" s="1"/>
      <c r="V66" s="1"/>
      <c r="W66" s="1"/>
      <c r="X66" s="1"/>
      <c r="Y66" s="1"/>
      <c r="Z66" s="134"/>
      <c r="AA66" s="134"/>
      <c r="AB66" s="179"/>
      <c r="AG66" s="203"/>
      <c r="AH66" s="203"/>
      <c r="AI66" s="203"/>
      <c r="AJ66" s="203"/>
      <c r="AK66" s="203"/>
      <c r="AL66" s="203"/>
      <c r="AM66" s="203"/>
      <c r="AN66" s="203"/>
      <c r="AO66" s="203"/>
      <c r="AP66" s="203"/>
      <c r="AQ66" s="203"/>
      <c r="AR66" s="203"/>
      <c r="AS66" s="203"/>
    </row>
    <row r="67" spans="1:45" ht="12" customHeight="1" x14ac:dyDescent="0.2">
      <c r="B67" s="1"/>
      <c r="C67" s="202"/>
      <c r="AG67" s="400" t="str">
        <f>S9</f>
        <v>Amsterdam Finest ss16</v>
      </c>
      <c r="AH67" s="400"/>
      <c r="AI67" s="203"/>
      <c r="AJ67" s="203"/>
      <c r="AK67" s="5" t="s">
        <v>16</v>
      </c>
      <c r="AL67" s="399" t="str">
        <f>S6</f>
        <v>Om des Keijzers baerdt</v>
      </c>
      <c r="AM67" s="399"/>
      <c r="AN67" s="203"/>
      <c r="AO67" s="203"/>
      <c r="AP67" s="203"/>
      <c r="AQ67" s="176" t="s">
        <v>17</v>
      </c>
      <c r="AR67" s="177" t="s">
        <v>16</v>
      </c>
      <c r="AS67" s="178" t="s">
        <v>17</v>
      </c>
    </row>
    <row r="68" spans="1:45" ht="12" customHeight="1" x14ac:dyDescent="0.2">
      <c r="B68" s="1"/>
      <c r="C68" s="202"/>
    </row>
    <row r="69" spans="1:45" ht="12" customHeight="1" x14ac:dyDescent="0.2">
      <c r="B69" s="1"/>
      <c r="C69" s="202"/>
      <c r="AG69" s="400" t="str">
        <f>L12</f>
        <v>Scherp Online</v>
      </c>
      <c r="AH69" s="400"/>
      <c r="AI69" s="203"/>
      <c r="AJ69" s="203"/>
      <c r="AK69" s="5" t="s">
        <v>16</v>
      </c>
      <c r="AL69" s="399" t="str">
        <f>L14</f>
        <v>#illuminaticonfirmed</v>
      </c>
      <c r="AM69" s="399"/>
      <c r="AN69" s="203"/>
      <c r="AO69" s="203"/>
      <c r="AP69" s="203"/>
      <c r="AQ69" s="176" t="s">
        <v>17</v>
      </c>
      <c r="AR69" s="177" t="s">
        <v>16</v>
      </c>
      <c r="AS69" s="178" t="s">
        <v>17</v>
      </c>
    </row>
    <row r="70" spans="1:45" ht="12" customHeight="1" x14ac:dyDescent="0.2">
      <c r="B70" s="1"/>
      <c r="C70" s="202"/>
      <c r="AG70" s="400" t="str">
        <f>L16</f>
        <v>Team Bublé</v>
      </c>
      <c r="AH70" s="400"/>
      <c r="AI70" s="203"/>
      <c r="AJ70" s="203"/>
      <c r="AK70" s="5" t="s">
        <v>16</v>
      </c>
      <c r="AL70" s="399" t="str">
        <f>L13</f>
        <v>Sammi's Sweathearts</v>
      </c>
      <c r="AM70" s="399"/>
      <c r="AN70" s="203"/>
      <c r="AO70" s="203"/>
      <c r="AP70" s="203"/>
      <c r="AQ70" s="176" t="s">
        <v>17</v>
      </c>
      <c r="AR70" s="177" t="s">
        <v>16</v>
      </c>
      <c r="AS70" s="178" t="s">
        <v>17</v>
      </c>
    </row>
    <row r="71" spans="1:45" x14ac:dyDescent="0.2">
      <c r="AG71"/>
      <c r="AH71"/>
      <c r="AI71"/>
      <c r="AJ71"/>
      <c r="AK71"/>
      <c r="AL71"/>
      <c r="AM71"/>
      <c r="AN71"/>
      <c r="AO71"/>
      <c r="AQ71" s="176"/>
      <c r="AR71" s="177"/>
      <c r="AS71" s="178"/>
    </row>
    <row r="72" spans="1:45" x14ac:dyDescent="0.2">
      <c r="AG72"/>
      <c r="AH72"/>
      <c r="AI72"/>
      <c r="AJ72"/>
      <c r="AK72"/>
      <c r="AL72"/>
      <c r="AM72"/>
      <c r="AN72"/>
      <c r="AO72"/>
      <c r="AQ72" s="176"/>
      <c r="AR72" s="177"/>
      <c r="AS72" s="178"/>
    </row>
    <row r="73" spans="1:45" x14ac:dyDescent="0.2">
      <c r="AG73"/>
      <c r="AH73"/>
      <c r="AI73"/>
      <c r="AJ73"/>
      <c r="AK73"/>
      <c r="AL73"/>
      <c r="AM73"/>
      <c r="AN73"/>
      <c r="AO73"/>
      <c r="AQ73" s="176"/>
      <c r="AR73" s="177"/>
      <c r="AS73" s="178"/>
    </row>
    <row r="74" spans="1:45" x14ac:dyDescent="0.2">
      <c r="AB74" s="3"/>
      <c r="AG74" s="469"/>
      <c r="AH74" s="469"/>
      <c r="AI74" s="8"/>
      <c r="AJ74" s="334"/>
      <c r="AK74" s="334"/>
      <c r="AL74" s="334"/>
    </row>
    <row r="75" spans="1:45" x14ac:dyDescent="0.2">
      <c r="AG75" s="469"/>
      <c r="AH75" s="469"/>
      <c r="AI75" s="8"/>
      <c r="AJ75" s="334"/>
      <c r="AK75" s="334"/>
      <c r="AL75" s="334"/>
    </row>
    <row r="76" spans="1:45" x14ac:dyDescent="0.2">
      <c r="AG76" s="469"/>
      <c r="AH76" s="469"/>
      <c r="AI76" s="8"/>
      <c r="AJ76" s="334"/>
      <c r="AK76" s="334"/>
      <c r="AL76" s="334"/>
    </row>
    <row r="80" spans="1:45" x14ac:dyDescent="0.2">
      <c r="T80" s="364" t="e">
        <f>#REF!</f>
        <v>#REF!</v>
      </c>
      <c r="U80" s="364"/>
      <c r="V80" s="134"/>
      <c r="W80" s="134"/>
      <c r="X80" s="5" t="s">
        <v>16</v>
      </c>
      <c r="Y80" s="365" t="e">
        <f>#REF!</f>
        <v>#REF!</v>
      </c>
      <c r="Z80" s="365"/>
      <c r="AA80" s="134"/>
      <c r="AB80" s="179"/>
      <c r="AD80" s="176" t="s">
        <v>17</v>
      </c>
      <c r="AE80" s="177" t="s">
        <v>16</v>
      </c>
      <c r="AF80" s="178" t="s">
        <v>17</v>
      </c>
    </row>
    <row r="81" spans="20:32" x14ac:dyDescent="0.2">
      <c r="T81" s="364" t="e">
        <f>#REF!</f>
        <v>#REF!</v>
      </c>
      <c r="U81" s="364"/>
      <c r="V81" s="134"/>
      <c r="W81" s="134"/>
      <c r="X81" s="5" t="s">
        <v>16</v>
      </c>
      <c r="Y81" s="365" t="e">
        <f>#REF!</f>
        <v>#REF!</v>
      </c>
      <c r="Z81" s="365"/>
      <c r="AA81" s="134"/>
      <c r="AB81" s="179"/>
      <c r="AD81" s="176" t="s">
        <v>17</v>
      </c>
      <c r="AE81" s="177" t="s">
        <v>16</v>
      </c>
      <c r="AF81" s="178" t="s">
        <v>17</v>
      </c>
    </row>
    <row r="83" spans="20:32" x14ac:dyDescent="0.2">
      <c r="T83" s="322" t="str">
        <f>EINDRONDE!D8</f>
        <v>De Torpedo's</v>
      </c>
      <c r="X83" s="5" t="s">
        <v>16</v>
      </c>
      <c r="Y83" s="323" t="str">
        <f>EINDRONDE!D9</f>
        <v>De Doofpot</v>
      </c>
      <c r="AD83" s="176" t="s">
        <v>17</v>
      </c>
      <c r="AE83" s="177" t="s">
        <v>16</v>
      </c>
      <c r="AF83" s="178" t="s">
        <v>17</v>
      </c>
    </row>
    <row r="84" spans="20:32" x14ac:dyDescent="0.2">
      <c r="T84" s="286" t="str">
        <f>EINDRONDE!J8</f>
        <v>Team Bombert</v>
      </c>
      <c r="X84" s="14" t="s">
        <v>16</v>
      </c>
      <c r="Y84" s="287" t="str">
        <f>EINDRONDE!J9</f>
        <v>FC Vondelpark</v>
      </c>
      <c r="AD84" s="176" t="s">
        <v>17</v>
      </c>
      <c r="AE84" s="177" t="s">
        <v>16</v>
      </c>
      <c r="AF84" s="178" t="s">
        <v>17</v>
      </c>
    </row>
    <row r="85" spans="20:32" x14ac:dyDescent="0.2">
      <c r="T85" s="287" t="e">
        <f>EINDRONDE!J10</f>
        <v>#REF!</v>
      </c>
      <c r="X85" s="14" t="s">
        <v>16</v>
      </c>
      <c r="Y85" s="286" t="str">
        <f>EINDRONDE!J11</f>
        <v>4e Beste nrs. 3</v>
      </c>
      <c r="AD85" s="176" t="s">
        <v>17</v>
      </c>
      <c r="AE85" s="177" t="s">
        <v>16</v>
      </c>
      <c r="AF85" s="178" t="s">
        <v>17</v>
      </c>
    </row>
    <row r="86" spans="20:32" x14ac:dyDescent="0.2">
      <c r="T86" s="286" t="str">
        <f>EINDRONDE!P8</f>
        <v>1e Poule E</v>
      </c>
      <c r="X86" s="14" t="s">
        <v>16</v>
      </c>
      <c r="Y86" s="287">
        <f>EINDRONDE!P9</f>
        <v>0</v>
      </c>
      <c r="AD86" s="176" t="s">
        <v>17</v>
      </c>
      <c r="AE86" s="177" t="s">
        <v>16</v>
      </c>
      <c r="AF86" s="178" t="s">
        <v>17</v>
      </c>
    </row>
    <row r="87" spans="20:32" x14ac:dyDescent="0.2">
      <c r="T87" s="287" t="e">
        <f>EINDRONDE!P10</f>
        <v>#REF!</v>
      </c>
      <c r="X87" s="14" t="s">
        <v>16</v>
      </c>
      <c r="Y87" s="286" t="e">
        <f>EINDRONDE!P11</f>
        <v>#REF!</v>
      </c>
      <c r="AD87" s="176" t="s">
        <v>17</v>
      </c>
      <c r="AE87" s="177" t="s">
        <v>16</v>
      </c>
      <c r="AF87" s="178" t="s">
        <v>17</v>
      </c>
    </row>
    <row r="88" spans="20:32" x14ac:dyDescent="0.2">
      <c r="T88" s="1"/>
      <c r="U88" s="1"/>
      <c r="V88" s="1"/>
      <c r="W88" s="1"/>
      <c r="X88" s="1"/>
      <c r="Y88" s="1"/>
      <c r="Z88" s="1"/>
      <c r="AA88" s="1"/>
      <c r="AB88" s="1"/>
    </row>
    <row r="89" spans="20:32" x14ac:dyDescent="0.2">
      <c r="T89" s="1"/>
      <c r="U89" s="1"/>
      <c r="V89" s="1"/>
      <c r="W89" s="1"/>
      <c r="X89" s="1"/>
      <c r="Y89" s="1"/>
      <c r="Z89" s="1"/>
      <c r="AA89" s="1"/>
      <c r="AB89" s="1"/>
    </row>
    <row r="90" spans="20:32" x14ac:dyDescent="0.2">
      <c r="T90" s="1"/>
      <c r="U90" s="1"/>
      <c r="V90" s="1"/>
      <c r="W90" s="1"/>
      <c r="X90" s="1"/>
      <c r="Y90" s="1"/>
      <c r="Z90" s="1"/>
      <c r="AA90" s="1"/>
      <c r="AB90" s="1"/>
    </row>
    <row r="91" spans="20:32" x14ac:dyDescent="0.2">
      <c r="T91" s="322" t="str">
        <f>EINDRONDE!D10</f>
        <v>2e Poule F</v>
      </c>
      <c r="X91" s="5" t="s">
        <v>16</v>
      </c>
      <c r="Y91" s="323" t="str">
        <f>EINDRONDE!D11</f>
        <v>1e Beste nrs. 3</v>
      </c>
      <c r="AB91" s="179"/>
      <c r="AD91" s="176" t="s">
        <v>17</v>
      </c>
      <c r="AE91" s="177" t="s">
        <v>16</v>
      </c>
      <c r="AF91" s="178" t="s">
        <v>17</v>
      </c>
    </row>
    <row r="92" spans="20:32" x14ac:dyDescent="0.2">
      <c r="T92" s="286" t="str">
        <f>EINDRONDE!D14</f>
        <v>1e Poule F</v>
      </c>
      <c r="X92" s="14" t="s">
        <v>16</v>
      </c>
      <c r="Y92" s="287" t="e">
        <f>EINDRONDE!D15</f>
        <v>#REF!</v>
      </c>
      <c r="Z92" s="1"/>
      <c r="AA92" s="1"/>
      <c r="AB92" s="1"/>
      <c r="AD92" s="176" t="s">
        <v>17</v>
      </c>
      <c r="AE92" s="177" t="s">
        <v>16</v>
      </c>
      <c r="AF92" s="178" t="s">
        <v>17</v>
      </c>
    </row>
    <row r="93" spans="20:32" x14ac:dyDescent="0.2">
      <c r="T93" s="287" t="str">
        <f>EINDRONDE!D16</f>
        <v>Monnie Represent</v>
      </c>
      <c r="X93" s="14" t="s">
        <v>16</v>
      </c>
      <c r="Y93" s="286" t="str">
        <f>EINDRONDE!D17</f>
        <v>2e Beste nrs. 3</v>
      </c>
      <c r="Z93" s="1"/>
      <c r="AA93" s="1"/>
      <c r="AB93" s="1"/>
      <c r="AD93" s="176" t="s">
        <v>17</v>
      </c>
      <c r="AE93" s="177" t="s">
        <v>16</v>
      </c>
      <c r="AF93" s="178" t="s">
        <v>17</v>
      </c>
    </row>
    <row r="94" spans="20:32" x14ac:dyDescent="0.2">
      <c r="T94" s="286" t="str">
        <f>EINDRONDE!J14</f>
        <v>FC Isjeneefer</v>
      </c>
      <c r="X94" s="14" t="s">
        <v>16</v>
      </c>
      <c r="Y94" s="287" t="e">
        <f>EINDRONDE!J15</f>
        <v>#REF!</v>
      </c>
      <c r="Z94" s="1"/>
      <c r="AA94" s="1"/>
      <c r="AB94" s="8"/>
      <c r="AD94" s="176" t="s">
        <v>17</v>
      </c>
      <c r="AE94" s="177" t="s">
        <v>16</v>
      </c>
      <c r="AF94" s="178" t="s">
        <v>17</v>
      </c>
    </row>
    <row r="95" spans="20:32" x14ac:dyDescent="0.2">
      <c r="T95" s="287" t="str">
        <f>EINDRONDE!J16</f>
        <v>IAMB&amp;B</v>
      </c>
      <c r="X95" s="14" t="s">
        <v>16</v>
      </c>
      <c r="Y95" s="286" t="str">
        <f>EINDRONDE!J17</f>
        <v>3e Beste nrs. 3</v>
      </c>
      <c r="Z95" s="1"/>
      <c r="AA95" s="1"/>
      <c r="AB95" s="8"/>
      <c r="AD95" s="176" t="s">
        <v>17</v>
      </c>
      <c r="AE95" s="177" t="s">
        <v>16</v>
      </c>
      <c r="AF95" s="178" t="s">
        <v>17</v>
      </c>
    </row>
    <row r="98" spans="6:32" ht="13.5" thickBot="1" x14ac:dyDescent="0.25"/>
    <row r="99" spans="6:32" ht="13.5" thickBot="1" x14ac:dyDescent="0.25">
      <c r="F99" s="410" t="s">
        <v>1</v>
      </c>
      <c r="G99" s="412"/>
      <c r="H99" s="412"/>
      <c r="I99" s="412"/>
      <c r="J99" s="412"/>
      <c r="K99" s="411"/>
      <c r="M99" s="410" t="s">
        <v>2</v>
      </c>
      <c r="N99" s="412"/>
      <c r="O99" s="412"/>
      <c r="P99" s="412"/>
      <c r="Q99" s="412"/>
      <c r="R99" s="411"/>
      <c r="S99" s="202"/>
      <c r="T99" s="410" t="s">
        <v>3</v>
      </c>
      <c r="U99" s="412"/>
      <c r="V99" s="412"/>
      <c r="W99" s="412"/>
      <c r="X99" s="412"/>
      <c r="Y99" s="411"/>
      <c r="Z99" s="202"/>
      <c r="AA99" s="418" t="s">
        <v>4</v>
      </c>
      <c r="AB99" s="409"/>
      <c r="AC99" s="409"/>
      <c r="AD99" s="409"/>
      <c r="AE99" s="409"/>
      <c r="AF99" s="409"/>
    </row>
    <row r="100" spans="6:32" x14ac:dyDescent="0.2">
      <c r="F100" s="420" t="s">
        <v>350</v>
      </c>
      <c r="G100" s="405"/>
      <c r="H100" s="405"/>
      <c r="I100" s="406"/>
      <c r="J100" s="406"/>
      <c r="K100" s="419"/>
      <c r="L100" s="4"/>
      <c r="M100" s="420" t="s">
        <v>353</v>
      </c>
      <c r="N100" s="405"/>
      <c r="O100" s="405"/>
      <c r="P100" s="406"/>
      <c r="Q100" s="406"/>
      <c r="R100" s="419"/>
      <c r="S100" s="202"/>
      <c r="T100" s="420" t="s">
        <v>360</v>
      </c>
      <c r="U100" s="405"/>
      <c r="V100" s="405"/>
      <c r="W100" s="406"/>
      <c r="X100" s="406"/>
      <c r="Y100" s="419"/>
      <c r="Z100" s="202"/>
      <c r="AA100" s="420" t="s">
        <v>363</v>
      </c>
      <c r="AB100" s="405"/>
      <c r="AC100" s="405"/>
      <c r="AD100" s="406"/>
      <c r="AE100" s="406"/>
      <c r="AF100" s="419"/>
    </row>
    <row r="101" spans="6:32" x14ac:dyDescent="0.2">
      <c r="F101" s="421" t="s">
        <v>426</v>
      </c>
      <c r="G101" s="401"/>
      <c r="H101" s="401"/>
      <c r="I101" s="402"/>
      <c r="J101" s="402"/>
      <c r="K101" s="183"/>
      <c r="M101" s="421" t="s">
        <v>354</v>
      </c>
      <c r="N101" s="401"/>
      <c r="O101" s="401"/>
      <c r="P101" s="402"/>
      <c r="Q101" s="402"/>
      <c r="R101" s="183"/>
      <c r="S101" s="202"/>
      <c r="T101" s="421" t="s">
        <v>424</v>
      </c>
      <c r="U101" s="401"/>
      <c r="V101" s="401"/>
      <c r="W101" s="402"/>
      <c r="X101" s="402"/>
      <c r="Y101" s="183"/>
      <c r="Z101" s="202"/>
      <c r="AA101" s="421" t="s">
        <v>364</v>
      </c>
      <c r="AB101" s="401"/>
      <c r="AC101" s="401"/>
      <c r="AD101" s="402"/>
      <c r="AE101" s="402"/>
      <c r="AF101" s="183"/>
    </row>
    <row r="102" spans="6:32" x14ac:dyDescent="0.2">
      <c r="F102" s="421" t="s">
        <v>352</v>
      </c>
      <c r="G102" s="401"/>
      <c r="H102" s="401"/>
      <c r="I102" s="402"/>
      <c r="J102" s="402"/>
      <c r="K102" s="183"/>
      <c r="M102" s="421" t="s">
        <v>355</v>
      </c>
      <c r="N102" s="401"/>
      <c r="O102" s="401"/>
      <c r="P102" s="402"/>
      <c r="Q102" s="402"/>
      <c r="R102" s="183"/>
      <c r="S102" s="202"/>
      <c r="T102" s="421" t="s">
        <v>361</v>
      </c>
      <c r="U102" s="401"/>
      <c r="V102" s="401"/>
      <c r="W102" s="402"/>
      <c r="X102" s="402"/>
      <c r="Y102" s="183"/>
      <c r="Z102" s="202"/>
      <c r="AA102" s="421" t="s">
        <v>383</v>
      </c>
      <c r="AB102" s="401"/>
      <c r="AC102" s="401"/>
      <c r="AD102" s="402"/>
      <c r="AE102" s="402"/>
      <c r="AF102" s="183"/>
    </row>
    <row r="103" spans="6:32" x14ac:dyDescent="0.2">
      <c r="F103" s="421" t="s">
        <v>421</v>
      </c>
      <c r="G103" s="401"/>
      <c r="H103" s="401"/>
      <c r="I103" s="402"/>
      <c r="J103" s="402"/>
      <c r="K103" s="183"/>
      <c r="M103" s="421" t="s">
        <v>422</v>
      </c>
      <c r="N103" s="401"/>
      <c r="O103" s="401"/>
      <c r="P103" s="402"/>
      <c r="Q103" s="402"/>
      <c r="R103" s="183"/>
      <c r="S103" s="202"/>
      <c r="T103" s="421" t="s">
        <v>362</v>
      </c>
      <c r="U103" s="401"/>
      <c r="V103" s="401"/>
      <c r="W103" s="402"/>
      <c r="X103" s="402"/>
      <c r="Y103" s="183"/>
      <c r="Z103" s="202"/>
      <c r="AA103" s="421" t="s">
        <v>365</v>
      </c>
      <c r="AB103" s="401"/>
      <c r="AC103" s="401"/>
      <c r="AD103" s="402"/>
      <c r="AE103" s="402"/>
      <c r="AF103" s="183"/>
    </row>
    <row r="104" spans="6:32" ht="13.5" thickBot="1" x14ac:dyDescent="0.25">
      <c r="F104" s="422" t="s">
        <v>351</v>
      </c>
      <c r="G104" s="403"/>
      <c r="H104" s="403"/>
      <c r="I104" s="404"/>
      <c r="J104" s="404"/>
      <c r="K104" s="184"/>
      <c r="M104" s="422" t="s">
        <v>357</v>
      </c>
      <c r="N104" s="403"/>
      <c r="O104" s="403"/>
      <c r="P104" s="404"/>
      <c r="Q104" s="404"/>
      <c r="R104" s="184"/>
      <c r="S104" s="202"/>
      <c r="T104" s="422" t="s">
        <v>369</v>
      </c>
      <c r="U104" s="403"/>
      <c r="V104" s="403"/>
      <c r="W104" s="404"/>
      <c r="X104" s="404"/>
      <c r="Y104" s="184"/>
      <c r="Z104" s="202"/>
      <c r="AA104" s="422" t="s">
        <v>359</v>
      </c>
      <c r="AB104" s="403"/>
      <c r="AC104" s="403"/>
      <c r="AD104" s="404"/>
      <c r="AE104" s="404"/>
      <c r="AF104" s="184"/>
    </row>
    <row r="105" spans="6:32" ht="13.5" thickBot="1" x14ac:dyDescent="0.25"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1"/>
      <c r="U105" s="1"/>
      <c r="V105" s="1"/>
      <c r="W105" s="1"/>
      <c r="X105" s="1"/>
      <c r="Y105" s="1"/>
      <c r="Z105" s="1"/>
      <c r="AA105" s="203"/>
      <c r="AB105" s="203"/>
      <c r="AC105" s="202"/>
      <c r="AD105" s="35"/>
      <c r="AE105" s="407"/>
      <c r="AF105" s="407"/>
    </row>
    <row r="106" spans="6:32" ht="13.5" thickBot="1" x14ac:dyDescent="0.25">
      <c r="F106" s="410" t="s">
        <v>5</v>
      </c>
      <c r="G106" s="412"/>
      <c r="H106" s="412"/>
      <c r="I106" s="412"/>
      <c r="J106" s="412"/>
      <c r="K106" s="411"/>
      <c r="M106" s="410" t="s">
        <v>6</v>
      </c>
      <c r="N106" s="412"/>
      <c r="O106" s="412"/>
      <c r="P106" s="412"/>
      <c r="Q106" s="412"/>
      <c r="R106" s="411"/>
      <c r="S106" s="202"/>
      <c r="T106" s="410" t="s">
        <v>7</v>
      </c>
      <c r="U106" s="412"/>
      <c r="V106" s="412"/>
      <c r="W106" s="412"/>
      <c r="X106" s="412"/>
      <c r="Y106" s="411"/>
      <c r="Z106" s="202"/>
      <c r="AA106" s="418" t="s">
        <v>8</v>
      </c>
      <c r="AB106" s="409"/>
      <c r="AC106" s="409"/>
      <c r="AD106" s="409"/>
      <c r="AE106" s="409"/>
      <c r="AF106" s="409"/>
    </row>
    <row r="107" spans="6:32" x14ac:dyDescent="0.2">
      <c r="F107" s="420" t="s">
        <v>356</v>
      </c>
      <c r="G107" s="405"/>
      <c r="H107" s="405"/>
      <c r="I107" s="406"/>
      <c r="J107" s="406"/>
      <c r="K107" s="419"/>
      <c r="L107" s="4"/>
      <c r="M107" s="420" t="s">
        <v>370</v>
      </c>
      <c r="N107" s="405"/>
      <c r="O107" s="405"/>
      <c r="P107" s="406"/>
      <c r="Q107" s="406"/>
      <c r="R107" s="419"/>
      <c r="S107" s="202"/>
      <c r="T107" s="420" t="s">
        <v>376</v>
      </c>
      <c r="U107" s="405"/>
      <c r="V107" s="405"/>
      <c r="W107" s="406"/>
      <c r="X107" s="406"/>
      <c r="Y107" s="419"/>
      <c r="Z107" s="202"/>
      <c r="AA107" s="420" t="s">
        <v>378</v>
      </c>
      <c r="AB107" s="405"/>
      <c r="AC107" s="405"/>
      <c r="AD107" s="406"/>
      <c r="AE107" s="406"/>
      <c r="AF107" s="419"/>
    </row>
    <row r="108" spans="6:32" x14ac:dyDescent="0.2">
      <c r="F108" s="421" t="s">
        <v>366</v>
      </c>
      <c r="G108" s="401"/>
      <c r="H108" s="401"/>
      <c r="I108" s="402"/>
      <c r="J108" s="402"/>
      <c r="K108" s="183"/>
      <c r="M108" s="421" t="s">
        <v>371</v>
      </c>
      <c r="N108" s="401"/>
      <c r="O108" s="401"/>
      <c r="P108" s="402"/>
      <c r="Q108" s="402"/>
      <c r="R108" s="183"/>
      <c r="S108" s="202"/>
      <c r="T108" s="421" t="s">
        <v>373</v>
      </c>
      <c r="U108" s="401"/>
      <c r="V108" s="401"/>
      <c r="W108" s="402"/>
      <c r="X108" s="402"/>
      <c r="Y108" s="183"/>
      <c r="Z108" s="202"/>
      <c r="AA108" s="421" t="s">
        <v>379</v>
      </c>
      <c r="AB108" s="401"/>
      <c r="AC108" s="401"/>
      <c r="AD108" s="402"/>
      <c r="AE108" s="402"/>
      <c r="AF108" s="183"/>
    </row>
    <row r="109" spans="6:32" x14ac:dyDescent="0.2">
      <c r="F109" s="421" t="s">
        <v>367</v>
      </c>
      <c r="G109" s="401"/>
      <c r="H109" s="401"/>
      <c r="I109" s="402"/>
      <c r="J109" s="402"/>
      <c r="K109" s="183"/>
      <c r="M109" s="421" t="s">
        <v>372</v>
      </c>
      <c r="N109" s="401"/>
      <c r="O109" s="401"/>
      <c r="P109" s="402"/>
      <c r="Q109" s="402"/>
      <c r="R109" s="183"/>
      <c r="S109" s="202"/>
      <c r="T109" s="421" t="s">
        <v>423</v>
      </c>
      <c r="U109" s="401"/>
      <c r="V109" s="401"/>
      <c r="W109" s="402"/>
      <c r="X109" s="402"/>
      <c r="Y109" s="183"/>
      <c r="Z109" s="202"/>
      <c r="AA109" s="421" t="s">
        <v>380</v>
      </c>
      <c r="AB109" s="401"/>
      <c r="AC109" s="401"/>
      <c r="AD109" s="402"/>
      <c r="AE109" s="402"/>
      <c r="AF109" s="183"/>
    </row>
    <row r="110" spans="6:32" x14ac:dyDescent="0.2">
      <c r="F110" s="421" t="s">
        <v>368</v>
      </c>
      <c r="G110" s="401"/>
      <c r="H110" s="401"/>
      <c r="I110" s="402"/>
      <c r="J110" s="402"/>
      <c r="K110" s="183"/>
      <c r="M110" s="421" t="s">
        <v>425</v>
      </c>
      <c r="N110" s="401"/>
      <c r="O110" s="401"/>
      <c r="P110" s="402"/>
      <c r="Q110" s="402"/>
      <c r="R110" s="183"/>
      <c r="S110" s="202"/>
      <c r="T110" s="421" t="s">
        <v>375</v>
      </c>
      <c r="U110" s="401"/>
      <c r="V110" s="401"/>
      <c r="W110" s="402"/>
      <c r="X110" s="402"/>
      <c r="Y110" s="183"/>
      <c r="Z110" s="202"/>
      <c r="AA110" s="421" t="s">
        <v>374</v>
      </c>
      <c r="AB110" s="401"/>
      <c r="AC110" s="401"/>
      <c r="AD110" s="402"/>
      <c r="AE110" s="402"/>
      <c r="AF110" s="183"/>
    </row>
    <row r="111" spans="6:32" ht="13.5" thickBot="1" x14ac:dyDescent="0.25">
      <c r="F111" s="422" t="s">
        <v>358</v>
      </c>
      <c r="G111" s="403"/>
      <c r="H111" s="403"/>
      <c r="I111" s="404"/>
      <c r="J111" s="404"/>
      <c r="K111" s="184"/>
      <c r="M111" s="422" t="s">
        <v>377</v>
      </c>
      <c r="N111" s="403"/>
      <c r="O111" s="403"/>
      <c r="P111" s="404"/>
      <c r="Q111" s="404"/>
      <c r="R111" s="184"/>
      <c r="S111" s="202"/>
      <c r="T111" s="423" t="s">
        <v>381</v>
      </c>
      <c r="U111" s="403"/>
      <c r="V111" s="403"/>
      <c r="W111" s="404"/>
      <c r="X111" s="404"/>
      <c r="Y111" s="184"/>
      <c r="Z111" s="202"/>
      <c r="AA111" s="423" t="s">
        <v>382</v>
      </c>
      <c r="AB111" s="403"/>
      <c r="AC111" s="403"/>
      <c r="AD111" s="404"/>
      <c r="AE111" s="404"/>
      <c r="AF111" s="184"/>
    </row>
    <row r="112" spans="6:32" ht="13.5" thickBot="1" x14ac:dyDescent="0.25"/>
    <row r="113" spans="6:32" ht="13.5" thickBot="1" x14ac:dyDescent="0.25">
      <c r="G113" s="445" t="s">
        <v>349</v>
      </c>
      <c r="H113" s="446"/>
      <c r="I113" s="446"/>
      <c r="J113" s="446"/>
      <c r="K113" s="447"/>
      <c r="N113" s="445" t="s">
        <v>345</v>
      </c>
      <c r="O113" s="446"/>
      <c r="P113" s="446"/>
      <c r="Q113" s="446"/>
      <c r="R113" s="447"/>
      <c r="S113" s="1"/>
      <c r="U113" s="445" t="s">
        <v>346</v>
      </c>
      <c r="V113" s="446"/>
      <c r="W113" s="446"/>
      <c r="X113" s="446"/>
      <c r="Y113" s="447"/>
      <c r="AB113" s="445" t="s">
        <v>347</v>
      </c>
      <c r="AC113" s="446"/>
      <c r="AD113" s="446"/>
      <c r="AE113" s="446"/>
      <c r="AF113" s="447"/>
    </row>
    <row r="114" spans="6:32" x14ac:dyDescent="0.2">
      <c r="F114" s="448" t="s">
        <v>33</v>
      </c>
      <c r="G114" s="380" t="s">
        <v>388</v>
      </c>
      <c r="H114" s="383"/>
      <c r="I114" s="383"/>
      <c r="J114" s="383"/>
      <c r="K114" s="384"/>
      <c r="L114" s="202"/>
      <c r="M114" s="448" t="s">
        <v>33</v>
      </c>
      <c r="N114" s="380" t="s">
        <v>393</v>
      </c>
      <c r="O114" s="383"/>
      <c r="P114" s="383"/>
      <c r="Q114" s="383"/>
      <c r="R114" s="384"/>
      <c r="S114" s="202"/>
      <c r="T114" s="451" t="s">
        <v>34</v>
      </c>
      <c r="U114" s="380" t="s">
        <v>398</v>
      </c>
      <c r="V114" s="383"/>
      <c r="W114" s="383"/>
      <c r="X114" s="383"/>
      <c r="Y114" s="384"/>
      <c r="Z114" s="1"/>
      <c r="AA114" s="451" t="s">
        <v>34</v>
      </c>
      <c r="AB114" s="380" t="s">
        <v>402</v>
      </c>
      <c r="AC114" s="383"/>
      <c r="AD114" s="383"/>
      <c r="AE114" s="383"/>
      <c r="AF114" s="384"/>
    </row>
    <row r="115" spans="6:32" x14ac:dyDescent="0.2">
      <c r="F115" s="449"/>
      <c r="G115" s="382" t="s">
        <v>389</v>
      </c>
      <c r="H115" s="408"/>
      <c r="I115" s="408"/>
      <c r="J115" s="408"/>
      <c r="K115" s="381"/>
      <c r="L115" s="202"/>
      <c r="M115" s="449"/>
      <c r="N115" s="382" t="s">
        <v>394</v>
      </c>
      <c r="O115" s="408"/>
      <c r="P115" s="408"/>
      <c r="Q115" s="408"/>
      <c r="R115" s="381"/>
      <c r="S115" s="202"/>
      <c r="T115" s="451"/>
      <c r="U115" s="382" t="s">
        <v>399</v>
      </c>
      <c r="V115" s="408"/>
      <c r="W115" s="408"/>
      <c r="X115" s="408"/>
      <c r="Y115" s="381"/>
      <c r="Z115" s="1"/>
      <c r="AA115" s="451"/>
      <c r="AB115" s="382" t="s">
        <v>403</v>
      </c>
      <c r="AC115" s="408"/>
      <c r="AD115" s="408"/>
      <c r="AE115" s="408"/>
      <c r="AF115" s="381"/>
    </row>
    <row r="116" spans="6:32" x14ac:dyDescent="0.2">
      <c r="F116" s="449"/>
      <c r="G116" s="382" t="s">
        <v>390</v>
      </c>
      <c r="H116" s="408"/>
      <c r="I116" s="408"/>
      <c r="J116" s="408"/>
      <c r="K116" s="381"/>
      <c r="L116" s="202"/>
      <c r="M116" s="449"/>
      <c r="N116" s="382" t="s">
        <v>395</v>
      </c>
      <c r="O116" s="408"/>
      <c r="P116" s="408"/>
      <c r="Q116" s="408"/>
      <c r="R116" s="381"/>
      <c r="S116" s="202"/>
      <c r="T116" s="451"/>
      <c r="U116" s="382" t="s">
        <v>400</v>
      </c>
      <c r="V116" s="408"/>
      <c r="W116" s="408"/>
      <c r="X116" s="408"/>
      <c r="Y116" s="381"/>
      <c r="Z116" s="1"/>
      <c r="AA116" s="451"/>
      <c r="AB116" s="382" t="s">
        <v>404</v>
      </c>
      <c r="AC116" s="408"/>
      <c r="AD116" s="408"/>
      <c r="AE116" s="408"/>
      <c r="AF116" s="381"/>
    </row>
    <row r="117" spans="6:32" ht="13.5" thickBot="1" x14ac:dyDescent="0.25">
      <c r="F117" s="449"/>
      <c r="G117" s="382" t="s">
        <v>391</v>
      </c>
      <c r="H117" s="408"/>
      <c r="I117" s="408"/>
      <c r="J117" s="408"/>
      <c r="K117" s="381"/>
      <c r="L117" s="202"/>
      <c r="M117" s="449"/>
      <c r="N117" s="382" t="s">
        <v>396</v>
      </c>
      <c r="O117" s="408"/>
      <c r="P117" s="408"/>
      <c r="Q117" s="408"/>
      <c r="R117" s="381"/>
      <c r="S117" s="202"/>
      <c r="T117" s="451"/>
      <c r="U117" s="385" t="s">
        <v>401</v>
      </c>
      <c r="V117" s="386"/>
      <c r="W117" s="386"/>
      <c r="X117" s="386"/>
      <c r="Y117" s="387"/>
      <c r="Z117" s="1"/>
      <c r="AA117" s="451"/>
      <c r="AB117" s="452" t="s">
        <v>381</v>
      </c>
      <c r="AC117" s="453"/>
      <c r="AD117" s="453"/>
      <c r="AE117" s="454"/>
      <c r="AF117" s="455"/>
    </row>
    <row r="118" spans="6:32" ht="13.5" thickBot="1" x14ac:dyDescent="0.25">
      <c r="F118" s="450"/>
      <c r="G118" s="385" t="s">
        <v>392</v>
      </c>
      <c r="H118" s="386"/>
      <c r="I118" s="386"/>
      <c r="J118" s="386"/>
      <c r="K118" s="387"/>
      <c r="L118" s="202"/>
      <c r="M118" s="450"/>
      <c r="N118" s="385" t="s">
        <v>397</v>
      </c>
      <c r="O118" s="386"/>
      <c r="P118" s="386"/>
      <c r="Q118" s="386"/>
      <c r="R118" s="387"/>
      <c r="S118" s="202"/>
      <c r="T118" s="398"/>
      <c r="U118" s="408"/>
      <c r="V118" s="408"/>
      <c r="W118" s="408"/>
      <c r="X118" s="408"/>
      <c r="Y118" s="408"/>
      <c r="Z118" s="1"/>
      <c r="AC118" s="394"/>
      <c r="AD118" s="394"/>
    </row>
  </sheetData>
  <mergeCells count="35">
    <mergeCell ref="A4:A22"/>
    <mergeCell ref="A28:A66"/>
    <mergeCell ref="E4:J4"/>
    <mergeCell ref="L4:Q4"/>
    <mergeCell ref="S4:X4"/>
    <mergeCell ref="E11:J11"/>
    <mergeCell ref="L11:Q11"/>
    <mergeCell ref="S11:X11"/>
    <mergeCell ref="AM4:AM10"/>
    <mergeCell ref="AM12:AM22"/>
    <mergeCell ref="AH10:AJ10"/>
    <mergeCell ref="AG76:AH76"/>
    <mergeCell ref="AG75:AH75"/>
    <mergeCell ref="AG74:AH74"/>
    <mergeCell ref="AA23:AE23"/>
    <mergeCell ref="Z20:Z23"/>
    <mergeCell ref="M19:Q19"/>
    <mergeCell ref="L20:L24"/>
    <mergeCell ref="D2:AF2"/>
    <mergeCell ref="E20:E24"/>
    <mergeCell ref="F19:J19"/>
    <mergeCell ref="S20:S23"/>
    <mergeCell ref="T19:X19"/>
    <mergeCell ref="AA19:AE19"/>
    <mergeCell ref="Z4:AE4"/>
    <mergeCell ref="Z11:AE11"/>
    <mergeCell ref="AB113:AF113"/>
    <mergeCell ref="F114:F118"/>
    <mergeCell ref="M114:M118"/>
    <mergeCell ref="T114:T117"/>
    <mergeCell ref="AA114:AA117"/>
    <mergeCell ref="AB117:AF117"/>
    <mergeCell ref="G113:K113"/>
    <mergeCell ref="N113:R113"/>
    <mergeCell ref="U113:Y113"/>
  </mergeCells>
  <phoneticPr fontId="0" type="noConversion"/>
  <pageMargins left="0.56999999999999995" right="0.25" top="0.37" bottom="0.34" header="0.28000000000000003" footer="0.28000000000000003"/>
  <pageSetup paperSize="9" scale="94" orientation="portrait" r:id="rId1"/>
  <headerFooter alignWithMargins="0"/>
  <colBreaks count="1" manualBreakCount="1">
    <brk id="32" min="1" max="70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5"/>
  <sheetViews>
    <sheetView view="pageBreakPreview" topLeftCell="B1" zoomScale="115" zoomScaleNormal="100" zoomScaleSheetLayoutView="115" workbookViewId="0">
      <selection activeCell="AD45" sqref="AD45"/>
    </sheetView>
  </sheetViews>
  <sheetFormatPr defaultRowHeight="12.75" x14ac:dyDescent="0.2"/>
  <cols>
    <col min="1" max="1" width="5.140625" style="1" hidden="1" customWidth="1"/>
    <col min="2" max="2" width="1.7109375" style="203" customWidth="1"/>
    <col min="3" max="3" width="2.85546875" style="203" customWidth="1"/>
    <col min="4" max="32" width="3" style="203" customWidth="1"/>
    <col min="33" max="33" width="3.28515625" customWidth="1"/>
    <col min="34" max="34" width="15.42578125" customWidth="1"/>
    <col min="35" max="35" width="3.28515625" customWidth="1"/>
    <col min="36" max="36" width="15.7109375" customWidth="1"/>
    <col min="37" max="37" width="2.140625" customWidth="1"/>
    <col min="38" max="38" width="1" customWidth="1"/>
    <col min="39" max="39" width="2.140625" customWidth="1"/>
    <col min="40" max="40" width="2.85546875" customWidth="1"/>
    <col min="41" max="41" width="3.28515625" customWidth="1"/>
    <col min="42" max="42" width="15" customWidth="1"/>
    <col min="43" max="43" width="3.28515625" style="1" customWidth="1"/>
    <col min="44" max="44" width="16.140625" style="1" customWidth="1"/>
    <col min="45" max="45" width="2.28515625" style="1" customWidth="1"/>
    <col min="46" max="46" width="1.5703125" style="1" customWidth="1"/>
    <col min="47" max="47" width="2.28515625" style="1" customWidth="1"/>
    <col min="48" max="48" width="1.28515625" style="1" customWidth="1"/>
    <col min="49" max="66" width="2.7109375" style="1" customWidth="1"/>
    <col min="67" max="96" width="2.7109375" customWidth="1"/>
  </cols>
  <sheetData>
    <row r="1" spans="1:66" x14ac:dyDescent="0.2">
      <c r="A1" s="202"/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03"/>
      <c r="AH1" s="203"/>
      <c r="AI1" s="203"/>
      <c r="AJ1" s="203"/>
      <c r="AK1" s="203"/>
      <c r="AL1" s="203"/>
      <c r="AM1" s="203"/>
      <c r="AN1" s="203"/>
      <c r="AO1" s="203"/>
      <c r="AP1" s="203"/>
      <c r="AQ1" s="202"/>
      <c r="AR1" s="202"/>
      <c r="AS1" s="202"/>
      <c r="AT1" s="202"/>
      <c r="AU1" s="202"/>
      <c r="AV1" s="202"/>
      <c r="AW1" s="202"/>
      <c r="AX1" s="202"/>
      <c r="AY1" s="202"/>
      <c r="AZ1" s="202"/>
    </row>
    <row r="2" spans="1:66" s="172" customFormat="1" ht="33.75" customHeight="1" x14ac:dyDescent="0.2">
      <c r="A2" s="199"/>
      <c r="B2" s="200"/>
      <c r="C2" s="200"/>
      <c r="D2" s="463" t="s">
        <v>343</v>
      </c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63"/>
      <c r="Z2" s="463"/>
      <c r="AA2" s="463"/>
      <c r="AB2" s="463"/>
      <c r="AC2" s="463"/>
      <c r="AD2" s="463"/>
      <c r="AE2" s="463"/>
      <c r="AF2" s="463"/>
      <c r="AG2" s="200"/>
      <c r="AH2" s="200"/>
      <c r="AI2" s="200"/>
      <c r="AJ2" s="200"/>
      <c r="AK2" s="200"/>
      <c r="AL2" s="200"/>
      <c r="AM2" s="321" t="s">
        <v>31</v>
      </c>
      <c r="AN2" s="200"/>
      <c r="AO2" s="200"/>
      <c r="AP2" s="200"/>
      <c r="AQ2" s="200"/>
      <c r="AR2" s="200"/>
      <c r="AS2" s="200"/>
      <c r="AT2" s="200"/>
      <c r="AU2" s="200"/>
      <c r="AV2" s="174"/>
      <c r="AW2" s="174"/>
      <c r="AX2" s="174"/>
      <c r="AY2" s="174"/>
      <c r="AZ2" s="174"/>
    </row>
    <row r="3" spans="1:66" ht="3.75" customHeight="1" thickBot="1" x14ac:dyDescent="0.25">
      <c r="A3" s="201"/>
      <c r="B3" s="202"/>
      <c r="AG3" s="203"/>
      <c r="AH3" s="203"/>
      <c r="AI3" s="203"/>
      <c r="AJ3" s="203"/>
      <c r="AK3" s="203"/>
      <c r="AL3" s="203"/>
      <c r="AM3" s="203"/>
      <c r="AN3" s="203"/>
      <c r="AO3" s="203"/>
      <c r="AP3" s="202"/>
      <c r="AQ3" s="202"/>
      <c r="AR3" s="202"/>
      <c r="AS3" s="202"/>
      <c r="AT3" s="202"/>
      <c r="AU3" s="202"/>
    </row>
    <row r="4" spans="1:66" ht="2.25" hidden="1" customHeight="1" x14ac:dyDescent="0.2">
      <c r="A4" s="243" t="s">
        <v>32</v>
      </c>
      <c r="B4" s="250"/>
      <c r="AG4" s="219"/>
      <c r="AH4" s="219"/>
      <c r="AI4" s="219"/>
      <c r="AJ4" s="219"/>
      <c r="AK4" s="219"/>
      <c r="AL4" s="219"/>
      <c r="AM4" s="250"/>
      <c r="AN4" s="250"/>
      <c r="AO4" s="288"/>
      <c r="AP4" s="1"/>
      <c r="AR4" s="6"/>
      <c r="AS4" s="6"/>
      <c r="AT4" s="187"/>
      <c r="AU4" s="134"/>
    </row>
    <row r="5" spans="1:66" ht="23.25" customHeight="1" thickBot="1" x14ac:dyDescent="0.25">
      <c r="A5" s="259"/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488" t="s">
        <v>33</v>
      </c>
      <c r="AH5" s="489"/>
      <c r="AI5" s="489"/>
      <c r="AJ5" s="489"/>
      <c r="AK5" s="489"/>
      <c r="AL5" s="490"/>
      <c r="AM5" s="202"/>
      <c r="AN5" s="202"/>
      <c r="AO5" s="488" t="s">
        <v>34</v>
      </c>
      <c r="AP5" s="489"/>
      <c r="AQ5" s="489"/>
      <c r="AR5" s="489"/>
      <c r="AS5" s="490"/>
      <c r="AT5" s="230"/>
      <c r="AU5" s="134"/>
    </row>
    <row r="6" spans="1:66" ht="8.25" hidden="1" customHeight="1" thickBot="1" x14ac:dyDescent="0.25">
      <c r="A6" s="259"/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51"/>
      <c r="AS6" s="251"/>
      <c r="AT6" s="251"/>
      <c r="AU6" s="202"/>
    </row>
    <row r="7" spans="1:66" s="4" customFormat="1" ht="12.75" hidden="1" customHeight="1" thickBot="1" x14ac:dyDescent="0.25">
      <c r="A7" s="480" t="s">
        <v>35</v>
      </c>
      <c r="B7" s="202"/>
      <c r="C7" s="202"/>
      <c r="D7" s="445" t="s">
        <v>36</v>
      </c>
      <c r="E7" s="446"/>
      <c r="F7" s="446"/>
      <c r="G7" s="446"/>
      <c r="H7" s="447"/>
      <c r="I7" s="202"/>
      <c r="J7" s="445" t="s">
        <v>37</v>
      </c>
      <c r="K7" s="446"/>
      <c r="L7" s="446"/>
      <c r="M7" s="446"/>
      <c r="N7" s="447"/>
      <c r="O7" s="202"/>
      <c r="P7" s="445" t="s">
        <v>45</v>
      </c>
      <c r="Q7" s="446"/>
      <c r="R7" s="446"/>
      <c r="S7" s="446"/>
      <c r="T7" s="447"/>
      <c r="U7" s="202"/>
      <c r="V7" s="445" t="s">
        <v>384</v>
      </c>
      <c r="W7" s="446"/>
      <c r="X7" s="446"/>
      <c r="Y7" s="446"/>
      <c r="Z7" s="447"/>
      <c r="AA7" s="202"/>
      <c r="AB7" s="445" t="s">
        <v>385</v>
      </c>
      <c r="AC7" s="446"/>
      <c r="AD7" s="446"/>
      <c r="AE7" s="446"/>
      <c r="AF7" s="447"/>
      <c r="AG7" s="464" t="s">
        <v>36</v>
      </c>
      <c r="AH7" s="466"/>
      <c r="AI7" s="9"/>
      <c r="AJ7" s="464" t="s">
        <v>37</v>
      </c>
      <c r="AK7" s="465"/>
      <c r="AL7" s="466"/>
      <c r="AM7" s="252"/>
      <c r="AN7" s="252"/>
      <c r="AO7" s="464" t="s">
        <v>38</v>
      </c>
      <c r="AP7" s="466"/>
      <c r="AQ7" s="252"/>
      <c r="AR7" s="464" t="s">
        <v>39</v>
      </c>
      <c r="AS7" s="466"/>
      <c r="AT7" s="173"/>
      <c r="AU7" s="186"/>
      <c r="AV7" s="467"/>
      <c r="AW7" s="128"/>
      <c r="AX7" s="128"/>
      <c r="AY7" s="128"/>
      <c r="AZ7" s="128"/>
      <c r="BA7" s="128"/>
      <c r="BB7" s="128"/>
      <c r="BC7" s="128"/>
      <c r="BD7" s="2"/>
      <c r="BE7" s="128"/>
      <c r="BF7" s="128"/>
      <c r="BG7" s="128"/>
      <c r="BH7" s="128"/>
      <c r="BI7" s="128"/>
      <c r="BJ7" s="128"/>
      <c r="BK7" s="128"/>
      <c r="BL7" s="128"/>
      <c r="BM7" s="128"/>
      <c r="BN7" s="128"/>
    </row>
    <row r="8" spans="1:66" ht="12.75" hidden="1" customHeight="1" x14ac:dyDescent="0.2">
      <c r="A8" s="481"/>
      <c r="B8" s="202"/>
      <c r="C8" s="202"/>
      <c r="D8" s="471" t="str">
        <f>IF('POULES (A-H)'!G5=3,'POULES (A-H)'!C5,"1e Poule A")</f>
        <v>De Torpedo's</v>
      </c>
      <c r="E8" s="472"/>
      <c r="F8" s="472"/>
      <c r="G8" s="472"/>
      <c r="H8" s="473"/>
      <c r="I8" s="202"/>
      <c r="J8" s="471" t="str">
        <f>IF('POULES (A-H)'!G20=3,'POULES (A-H)'!C20,"1e Poule C")</f>
        <v>Team Bombert</v>
      </c>
      <c r="K8" s="472"/>
      <c r="L8" s="472"/>
      <c r="M8" s="472"/>
      <c r="N8" s="473"/>
      <c r="O8" s="202"/>
      <c r="P8" s="471" t="str">
        <f>IF('POULES (A-H)'!G37=3,'POULES (A-H)'!C37,"1e Poule E")</f>
        <v>1e Poule E</v>
      </c>
      <c r="Q8" s="472"/>
      <c r="R8" s="472"/>
      <c r="S8" s="472"/>
      <c r="T8" s="473"/>
      <c r="U8" s="202"/>
      <c r="V8" s="471" t="s">
        <v>40</v>
      </c>
      <c r="W8" s="472"/>
      <c r="X8" s="472"/>
      <c r="Y8" s="472"/>
      <c r="Z8" s="473"/>
      <c r="AA8" s="202"/>
      <c r="AB8" s="471" t="s">
        <v>41</v>
      </c>
      <c r="AC8" s="472"/>
      <c r="AD8" s="472"/>
      <c r="AE8" s="472"/>
      <c r="AF8" s="473"/>
      <c r="AI8" s="8"/>
      <c r="AM8" s="253"/>
      <c r="AN8" s="253"/>
      <c r="AQ8" s="253"/>
      <c r="AT8" s="134"/>
      <c r="AU8" s="186"/>
      <c r="AV8" s="467"/>
      <c r="AW8" s="479"/>
      <c r="AX8" s="479"/>
      <c r="BD8" s="6"/>
    </row>
    <row r="9" spans="1:66" ht="12.75" hidden="1" customHeight="1" x14ac:dyDescent="0.2">
      <c r="A9" s="481"/>
      <c r="B9" s="202"/>
      <c r="C9" s="202"/>
      <c r="D9" s="471" t="str">
        <f>IF('POULES (A-H)'!X5=3,'POULES (A-H)'!T5,"1e Poule B")</f>
        <v>De Doofpot</v>
      </c>
      <c r="E9" s="472"/>
      <c r="F9" s="472"/>
      <c r="G9" s="472"/>
      <c r="H9" s="473"/>
      <c r="I9" s="202"/>
      <c r="J9" s="471" t="str">
        <f>IF('POULES (A-H)'!X20=3,'POULES (A-H)'!T20,"1e Poule D")</f>
        <v>FC Vondelpark</v>
      </c>
      <c r="K9" s="472"/>
      <c r="L9" s="472"/>
      <c r="M9" s="472"/>
      <c r="N9" s="473"/>
      <c r="O9" s="202"/>
      <c r="P9" s="471">
        <f>IF('POULES (A-H)'!X53=3,'POULES (A-H)'!T53,"2e Poule H")</f>
        <v>0</v>
      </c>
      <c r="Q9" s="472"/>
      <c r="R9" s="472"/>
      <c r="S9" s="472"/>
      <c r="T9" s="473"/>
      <c r="U9" s="202"/>
      <c r="V9" s="471" t="str">
        <f>IF('POULES (A-H)'!G8=3,'POULES (A-H)'!C8,"4e Poule A")</f>
        <v>4e Poule A</v>
      </c>
      <c r="W9" s="472"/>
      <c r="X9" s="472"/>
      <c r="Y9" s="472"/>
      <c r="Z9" s="473"/>
      <c r="AA9" s="202"/>
      <c r="AB9" s="471" t="s">
        <v>42</v>
      </c>
      <c r="AC9" s="472"/>
      <c r="AD9" s="472"/>
      <c r="AE9" s="472"/>
      <c r="AF9" s="473"/>
      <c r="AI9" s="8"/>
      <c r="AM9" s="253"/>
      <c r="AN9" s="253"/>
      <c r="AQ9" s="253"/>
      <c r="AT9" s="134"/>
      <c r="AU9" s="186"/>
      <c r="AV9" s="467"/>
      <c r="AW9" s="479"/>
      <c r="AX9" s="479"/>
      <c r="BD9" s="6"/>
    </row>
    <row r="10" spans="1:66" hidden="1" x14ac:dyDescent="0.2">
      <c r="A10" s="481"/>
      <c r="B10" s="202"/>
      <c r="C10" s="202"/>
      <c r="D10" s="471" t="str">
        <f>IF('POULES (A-H)'!X38=3,'POULES (A-H)'!T38,"2e Poule F")</f>
        <v>2e Poule F</v>
      </c>
      <c r="E10" s="472"/>
      <c r="F10" s="472"/>
      <c r="G10" s="472"/>
      <c r="H10" s="473"/>
      <c r="I10" s="202"/>
      <c r="J10" s="471" t="e">
        <f>IF('POULES (A-H)'!G53=3,'POULES (A-H)'!C53,"2e Poule G")</f>
        <v>#REF!</v>
      </c>
      <c r="K10" s="472"/>
      <c r="L10" s="472"/>
      <c r="M10" s="472"/>
      <c r="N10" s="473"/>
      <c r="O10" s="202"/>
      <c r="P10" s="471" t="e">
        <f>IF('POULES (I+J)'!G6=3,'POULES (I+J)'!C6,"2e Poule I")</f>
        <v>#REF!</v>
      </c>
      <c r="Q10" s="472"/>
      <c r="R10" s="472"/>
      <c r="S10" s="472"/>
      <c r="T10" s="473"/>
      <c r="U10" s="202"/>
      <c r="V10" s="471" t="str">
        <f>IF('POULES (A-H)'!X8=3,'POULES (A-H)'!T8,"4e Poule B")</f>
        <v>4e Poule B</v>
      </c>
      <c r="W10" s="472"/>
      <c r="X10" s="472"/>
      <c r="Y10" s="472"/>
      <c r="Z10" s="473"/>
      <c r="AA10" s="202"/>
      <c r="AB10" s="471" t="str">
        <f>IF('POULES (A-H)'!X23=3,'POULES (A-H)'!T23,"4e Poule D")</f>
        <v>Veddetero's klunzen</v>
      </c>
      <c r="AC10" s="472"/>
      <c r="AD10" s="472"/>
      <c r="AE10" s="472"/>
      <c r="AF10" s="473"/>
      <c r="AI10" s="8"/>
      <c r="AM10" s="253"/>
      <c r="AN10" s="253"/>
      <c r="AQ10" s="253"/>
      <c r="AT10" s="134"/>
      <c r="AU10" s="186"/>
      <c r="AV10" s="467"/>
      <c r="BD10" s="6"/>
    </row>
    <row r="11" spans="1:66" ht="13.5" hidden="1" thickBot="1" x14ac:dyDescent="0.25">
      <c r="A11" s="481"/>
      <c r="B11" s="202"/>
      <c r="C11" s="202"/>
      <c r="D11" s="456" t="s">
        <v>43</v>
      </c>
      <c r="E11" s="457"/>
      <c r="F11" s="457"/>
      <c r="G11" s="457"/>
      <c r="H11" s="474"/>
      <c r="I11" s="202"/>
      <c r="J11" s="456" t="s">
        <v>44</v>
      </c>
      <c r="K11" s="457"/>
      <c r="L11" s="457"/>
      <c r="M11" s="457"/>
      <c r="N11" s="474"/>
      <c r="O11" s="202"/>
      <c r="P11" s="456" t="e">
        <f>IF('POULES (I+J)'!X6=3,'POULES (I+J)'!T6,"2e Poule J")</f>
        <v>#REF!</v>
      </c>
      <c r="Q11" s="457"/>
      <c r="R11" s="457"/>
      <c r="S11" s="457"/>
      <c r="T11" s="474"/>
      <c r="U11" s="202"/>
      <c r="V11" s="456" t="str">
        <f>IF('POULES (A-H)'!G23=3,'POULES (A-H)'!C23,"4e Poule C")</f>
        <v>4e Poule C</v>
      </c>
      <c r="W11" s="457"/>
      <c r="X11" s="457"/>
      <c r="Y11" s="457"/>
      <c r="Z11" s="474"/>
      <c r="AA11" s="202"/>
      <c r="AB11" s="456" t="str">
        <f>IF('POULES (A-H)'!G40=3,'POULES (A-H)'!C40,"4e Poule E")</f>
        <v>4e Poule E</v>
      </c>
      <c r="AC11" s="457"/>
      <c r="AD11" s="457"/>
      <c r="AE11" s="457"/>
      <c r="AF11" s="474"/>
      <c r="AI11" s="8"/>
      <c r="AM11" s="253"/>
      <c r="AN11" s="253"/>
      <c r="AQ11" s="253"/>
      <c r="AT11" s="134"/>
      <c r="AU11" s="186"/>
      <c r="AV11" s="467"/>
      <c r="BD11" s="6"/>
    </row>
    <row r="12" spans="1:66" ht="6" hidden="1" customHeight="1" thickBot="1" x14ac:dyDescent="0.25">
      <c r="A12" s="481"/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1"/>
      <c r="AH12" s="1"/>
      <c r="AI12" s="1"/>
      <c r="AJ12" s="1"/>
      <c r="AK12" s="1"/>
      <c r="AL12" s="1"/>
      <c r="AM12" s="202"/>
      <c r="AN12" s="202"/>
      <c r="AO12" s="1"/>
      <c r="AP12" s="1"/>
      <c r="AQ12" s="202"/>
      <c r="AR12" s="6"/>
      <c r="AS12" s="6"/>
      <c r="AT12" s="6"/>
      <c r="AU12" s="231"/>
      <c r="AV12" s="467"/>
      <c r="BE12" s="2"/>
      <c r="BF12" s="478"/>
    </row>
    <row r="13" spans="1:66" ht="13.5" hidden="1" thickBot="1" x14ac:dyDescent="0.25">
      <c r="A13" s="481"/>
      <c r="B13" s="202"/>
      <c r="C13" s="202"/>
      <c r="D13" s="445" t="s">
        <v>46</v>
      </c>
      <c r="E13" s="446"/>
      <c r="F13" s="446"/>
      <c r="G13" s="446"/>
      <c r="H13" s="447"/>
      <c r="I13" s="202"/>
      <c r="J13" s="445" t="s">
        <v>53</v>
      </c>
      <c r="K13" s="446"/>
      <c r="L13" s="446"/>
      <c r="M13" s="446"/>
      <c r="N13" s="447"/>
      <c r="O13" s="202"/>
      <c r="P13" s="445" t="s">
        <v>54</v>
      </c>
      <c r="Q13" s="446"/>
      <c r="R13" s="446"/>
      <c r="S13" s="446"/>
      <c r="T13" s="447"/>
      <c r="U13" s="202"/>
      <c r="V13" s="445" t="s">
        <v>386</v>
      </c>
      <c r="W13" s="446"/>
      <c r="X13" s="446"/>
      <c r="Y13" s="446"/>
      <c r="Z13" s="447"/>
      <c r="AA13" s="202"/>
      <c r="AB13" s="445" t="s">
        <v>387</v>
      </c>
      <c r="AC13" s="446"/>
      <c r="AD13" s="446"/>
      <c r="AE13" s="446"/>
      <c r="AF13" s="447"/>
      <c r="AG13" s="464" t="s">
        <v>45</v>
      </c>
      <c r="AH13" s="466"/>
      <c r="AI13" s="9"/>
      <c r="AJ13" s="464" t="s">
        <v>46</v>
      </c>
      <c r="AK13" s="465"/>
      <c r="AL13" s="466"/>
      <c r="AM13" s="252"/>
      <c r="AN13" s="202"/>
      <c r="AO13" s="464" t="s">
        <v>47</v>
      </c>
      <c r="AP13" s="466"/>
      <c r="AQ13" s="254"/>
      <c r="AR13" s="464" t="s">
        <v>48</v>
      </c>
      <c r="AS13" s="466"/>
      <c r="AV13" s="467"/>
      <c r="BE13" s="6"/>
      <c r="BF13" s="478"/>
    </row>
    <row r="14" spans="1:66" ht="12.75" hidden="1" customHeight="1" x14ac:dyDescent="0.2">
      <c r="A14" s="481"/>
      <c r="B14" s="202"/>
      <c r="C14" s="202"/>
      <c r="D14" s="471" t="str">
        <f>IF('POULES (A-H)'!X37=3,'POULES (A-H)'!T37,"1e Poule F")</f>
        <v>1e Poule F</v>
      </c>
      <c r="E14" s="472"/>
      <c r="F14" s="472"/>
      <c r="G14" s="472"/>
      <c r="H14" s="473"/>
      <c r="I14" s="202"/>
      <c r="J14" s="471" t="str">
        <f>IF('POULES (A-H)'!X52=3,'POULES (A-H)'!T52,"1e Poule H")</f>
        <v>FC Isjeneefer</v>
      </c>
      <c r="K14" s="472"/>
      <c r="L14" s="472"/>
      <c r="M14" s="472"/>
      <c r="N14" s="473"/>
      <c r="O14" s="202"/>
      <c r="P14" s="471" t="e">
        <f>IF('POULES (I+J)'!X5=3,'POULES (I+J)'!T5,"1e Poule J")</f>
        <v>#REF!</v>
      </c>
      <c r="Q14" s="472"/>
      <c r="R14" s="472"/>
      <c r="S14" s="472"/>
      <c r="T14" s="473"/>
      <c r="U14" s="202"/>
      <c r="V14" s="471" t="s">
        <v>49</v>
      </c>
      <c r="W14" s="472"/>
      <c r="X14" s="472"/>
      <c r="Y14" s="472"/>
      <c r="Z14" s="473"/>
      <c r="AA14" s="202"/>
      <c r="AB14" s="471" t="s">
        <v>50</v>
      </c>
      <c r="AC14" s="472"/>
      <c r="AD14" s="472"/>
      <c r="AE14" s="472"/>
      <c r="AF14" s="473"/>
      <c r="AI14" s="8"/>
      <c r="AL14" s="183"/>
      <c r="AM14" s="253"/>
      <c r="AN14" s="202"/>
      <c r="AQ14" s="255"/>
      <c r="AV14" s="467"/>
      <c r="BE14" s="6"/>
      <c r="BF14" s="478"/>
    </row>
    <row r="15" spans="1:66" hidden="1" x14ac:dyDescent="0.2">
      <c r="A15" s="481"/>
      <c r="B15" s="202"/>
      <c r="C15" s="202"/>
      <c r="D15" s="471" t="e">
        <f>IF('POULES (A-H)'!G52=3,'POULES (A-H)'!C52,"1e Poule G")</f>
        <v>#REF!</v>
      </c>
      <c r="E15" s="472"/>
      <c r="F15" s="472"/>
      <c r="G15" s="472"/>
      <c r="H15" s="473"/>
      <c r="I15" s="202"/>
      <c r="J15" s="471" t="e">
        <f>IF('POULES (I+J)'!G5=3,'POULES (I+J)'!C5,"1e Poule I")</f>
        <v>#REF!</v>
      </c>
      <c r="K15" s="472"/>
      <c r="L15" s="472"/>
      <c r="M15" s="472"/>
      <c r="N15" s="473"/>
      <c r="O15" s="202"/>
      <c r="P15" s="471" t="str">
        <f>IF('POULES (A-H)'!G6=3,'POULES (A-H)'!C6,"2e Poule A")</f>
        <v>AccentSport Rakkers</v>
      </c>
      <c r="Q15" s="472"/>
      <c r="R15" s="472"/>
      <c r="S15" s="472"/>
      <c r="T15" s="473"/>
      <c r="U15" s="202"/>
      <c r="V15" s="471" t="str">
        <f>IF('POULES (A-H)'!X40=3,'POULES (A-H)'!T40,"4e Poule F")</f>
        <v>4e Poule F</v>
      </c>
      <c r="W15" s="472"/>
      <c r="X15" s="472"/>
      <c r="Y15" s="472"/>
      <c r="Z15" s="473"/>
      <c r="AA15" s="202"/>
      <c r="AB15" s="471" t="s">
        <v>51</v>
      </c>
      <c r="AC15" s="472"/>
      <c r="AD15" s="472"/>
      <c r="AE15" s="472"/>
      <c r="AF15" s="473"/>
      <c r="AI15" s="8"/>
      <c r="AL15" s="183"/>
      <c r="AM15" s="253"/>
      <c r="AN15" s="202"/>
      <c r="AQ15" s="255"/>
      <c r="AV15" s="467"/>
      <c r="BE15" s="6"/>
      <c r="BF15" s="478"/>
    </row>
    <row r="16" spans="1:66" hidden="1" x14ac:dyDescent="0.2">
      <c r="A16" s="481"/>
      <c r="B16" s="202"/>
      <c r="C16" s="202"/>
      <c r="D16" s="471" t="str">
        <f>IF('POULES (A-H)'!G38=3,'POULES (A-H)'!C38,"2e Poule E")</f>
        <v>Monnie Represent</v>
      </c>
      <c r="E16" s="472"/>
      <c r="F16" s="472"/>
      <c r="G16" s="472"/>
      <c r="H16" s="473"/>
      <c r="I16" s="202"/>
      <c r="J16" s="471" t="str">
        <f>IF('POULES (A-H)'!X21=3,'POULES (A-H)'!T21,"2e Poule D")</f>
        <v>IAMB&amp;B</v>
      </c>
      <c r="K16" s="472"/>
      <c r="L16" s="472"/>
      <c r="M16" s="472"/>
      <c r="N16" s="473"/>
      <c r="O16" s="202"/>
      <c r="P16" s="471" t="str">
        <f>IF('POULES (A-H)'!X6=3,'POULES (A-H)'!T6,"2e Poule B")</f>
        <v>2e Poule B</v>
      </c>
      <c r="Q16" s="472"/>
      <c r="R16" s="472"/>
      <c r="S16" s="472"/>
      <c r="T16" s="473"/>
      <c r="U16" s="202"/>
      <c r="V16" s="471" t="e">
        <f>IF('POULES (A-H)'!G55=3,'POULES (A-H)'!C55,"4e Poule G")</f>
        <v>#REF!</v>
      </c>
      <c r="W16" s="472"/>
      <c r="X16" s="472"/>
      <c r="Y16" s="472"/>
      <c r="Z16" s="473"/>
      <c r="AA16" s="202"/>
      <c r="AB16" s="471" t="e">
        <f>IF('POULES (I+J)'!G8=3,'POULES (I+J)'!C8,"4e Poule I")</f>
        <v>#REF!</v>
      </c>
      <c r="AC16" s="472"/>
      <c r="AD16" s="472"/>
      <c r="AE16" s="472"/>
      <c r="AF16" s="473"/>
      <c r="AI16" s="8"/>
      <c r="AL16" s="183"/>
      <c r="AM16" s="253"/>
      <c r="AN16" s="202"/>
      <c r="AQ16" s="255"/>
      <c r="AV16" s="467"/>
      <c r="BE16" s="6"/>
      <c r="BF16" s="478"/>
    </row>
    <row r="17" spans="1:72" ht="13.5" hidden="1" thickBot="1" x14ac:dyDescent="0.25">
      <c r="A17" s="481"/>
      <c r="B17" s="202"/>
      <c r="C17" s="202"/>
      <c r="D17" s="456" t="s">
        <v>52</v>
      </c>
      <c r="E17" s="457"/>
      <c r="F17" s="457"/>
      <c r="G17" s="457"/>
      <c r="H17" s="474"/>
      <c r="I17" s="202"/>
      <c r="J17" s="456" t="s">
        <v>56</v>
      </c>
      <c r="K17" s="457"/>
      <c r="L17" s="457"/>
      <c r="M17" s="457"/>
      <c r="N17" s="474"/>
      <c r="O17" s="202"/>
      <c r="P17" s="456" t="str">
        <f>IF('POULES (A-H)'!G21=3,'POULES (A-H)'!C21,"2e Poule C")</f>
        <v>De Kabel</v>
      </c>
      <c r="Q17" s="457"/>
      <c r="R17" s="457"/>
      <c r="S17" s="457"/>
      <c r="T17" s="474"/>
      <c r="U17" s="202"/>
      <c r="V17" s="456" t="str">
        <f>IF('POULES (A-H)'!X55=3,'POULES (A-H)'!T55,"4e Poule H")</f>
        <v>Orion</v>
      </c>
      <c r="W17" s="457"/>
      <c r="X17" s="457"/>
      <c r="Y17" s="457"/>
      <c r="Z17" s="474"/>
      <c r="AA17" s="202"/>
      <c r="AB17" s="456" t="e">
        <f>IF('POULES (I+J)'!X8=3,'POULES (I+J)'!T8,"4e Poule J")</f>
        <v>#REF!</v>
      </c>
      <c r="AC17" s="457"/>
      <c r="AD17" s="457"/>
      <c r="AE17" s="457"/>
      <c r="AF17" s="474"/>
      <c r="AI17" s="8"/>
      <c r="AL17" s="184"/>
      <c r="AM17" s="253"/>
      <c r="AN17" s="202"/>
      <c r="AQ17" s="255"/>
      <c r="AV17" s="467"/>
    </row>
    <row r="18" spans="1:72" ht="6" hidden="1" customHeight="1" thickBot="1" x14ac:dyDescent="0.25">
      <c r="A18" s="481"/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1"/>
      <c r="AH18" s="1"/>
      <c r="AI18" s="1"/>
      <c r="AJ18" s="1"/>
      <c r="AK18" s="1"/>
      <c r="AL18" s="1"/>
      <c r="AM18" s="202"/>
      <c r="AN18" s="202"/>
      <c r="AO18" s="134"/>
      <c r="AP18" s="134"/>
      <c r="AQ18" s="253"/>
      <c r="BA18" s="330"/>
      <c r="BB18" s="475"/>
      <c r="BC18" s="475"/>
      <c r="BD18" s="475"/>
      <c r="BH18" s="229"/>
      <c r="BK18" s="229"/>
    </row>
    <row r="19" spans="1:72" ht="1.5" hidden="1" customHeight="1" thickBot="1" x14ac:dyDescent="0.25">
      <c r="A19" s="481"/>
      <c r="AG19" s="464" t="s">
        <v>53</v>
      </c>
      <c r="AH19" s="466"/>
      <c r="AI19" s="2"/>
      <c r="AJ19" s="464" t="s">
        <v>54</v>
      </c>
      <c r="AK19" s="465"/>
      <c r="AL19" s="466"/>
      <c r="AM19" s="252"/>
      <c r="AN19" s="252"/>
      <c r="AO19" s="476" t="s">
        <v>55</v>
      </c>
      <c r="AP19" s="477"/>
      <c r="AQ19" s="202"/>
    </row>
    <row r="20" spans="1:72" ht="13.5" customHeight="1" x14ac:dyDescent="0.2">
      <c r="A20" s="481"/>
      <c r="D20" s="370" t="str">
        <f>START!B12</f>
        <v>13:00 - 13:15 uur</v>
      </c>
      <c r="E20" s="371"/>
      <c r="F20" s="371"/>
      <c r="G20" s="371"/>
      <c r="H20" s="371"/>
      <c r="I20" s="371"/>
      <c r="J20" s="371"/>
      <c r="K20" s="371"/>
      <c r="L20" s="371"/>
      <c r="M20" s="371"/>
      <c r="N20" s="371"/>
      <c r="O20" s="371"/>
      <c r="P20" s="371"/>
      <c r="Q20" s="369" t="s">
        <v>344</v>
      </c>
      <c r="S20" s="370" t="str">
        <f>START!B17</f>
        <v>14:15 - 14:30 uur</v>
      </c>
      <c r="T20" s="376"/>
      <c r="U20" s="376"/>
      <c r="V20" s="376"/>
      <c r="W20" s="376"/>
      <c r="X20" s="376"/>
      <c r="Y20" s="376"/>
      <c r="Z20" s="376"/>
      <c r="AA20" s="376"/>
      <c r="AB20" s="376"/>
      <c r="AC20" s="376"/>
      <c r="AD20" s="376"/>
      <c r="AE20" s="376"/>
      <c r="AF20" s="369" t="s">
        <v>79</v>
      </c>
      <c r="AI20" s="8"/>
      <c r="AM20" s="253"/>
      <c r="AN20" s="253"/>
      <c r="AO20" s="325" t="s">
        <v>337</v>
      </c>
      <c r="AP20" s="327"/>
      <c r="AQ20" s="202"/>
      <c r="AT20" s="182"/>
    </row>
    <row r="21" spans="1:72" ht="13.5" customHeight="1" x14ac:dyDescent="0.2">
      <c r="A21" s="481"/>
      <c r="D21" s="281">
        <v>1</v>
      </c>
      <c r="E21" s="388" t="str">
        <f>KWALIFICATIE!M20</f>
        <v>De Westfriesies</v>
      </c>
      <c r="F21" s="388"/>
      <c r="I21" s="281" t="s">
        <v>16</v>
      </c>
      <c r="J21" s="389" t="str">
        <f>KWALIFICATIE!M23</f>
        <v>KFC zaterdag VR 35+</v>
      </c>
      <c r="K21" s="389"/>
      <c r="O21" s="390">
        <v>2</v>
      </c>
      <c r="P21" s="391" t="s">
        <v>16</v>
      </c>
      <c r="Q21" s="392">
        <v>0</v>
      </c>
      <c r="S21" s="281">
        <v>1</v>
      </c>
      <c r="T21" s="388" t="str">
        <f>KWALIFICATIE!T21</f>
        <v>De Ronaldozen</v>
      </c>
      <c r="U21" s="388"/>
      <c r="X21" s="281" t="s">
        <v>16</v>
      </c>
      <c r="Y21" s="388" t="str">
        <f>KWALIFICATIE!T22</f>
        <v>AntiLope</v>
      </c>
      <c r="Z21" s="389"/>
      <c r="AD21" s="390">
        <v>4</v>
      </c>
      <c r="AE21" s="391" t="s">
        <v>16</v>
      </c>
      <c r="AF21" s="392">
        <v>0</v>
      </c>
      <c r="AI21" s="8"/>
      <c r="AM21" s="253"/>
      <c r="AN21" s="253"/>
      <c r="AO21" s="325" t="s">
        <v>338</v>
      </c>
      <c r="AP21" s="327"/>
      <c r="AQ21" s="202"/>
      <c r="AT21" s="326"/>
    </row>
    <row r="22" spans="1:72" ht="13.5" customHeight="1" x14ac:dyDescent="0.2">
      <c r="A22" s="481"/>
      <c r="D22" s="281">
        <v>2</v>
      </c>
      <c r="E22" s="388" t="str">
        <f>KWALIFICATIE!M21</f>
        <v>About to get Messi</v>
      </c>
      <c r="F22" s="388"/>
      <c r="I22" s="281" t="s">
        <v>16</v>
      </c>
      <c r="J22" s="389" t="str">
        <f>KWALIFICATIE!M24</f>
        <v>Fortius 1 dames 35+</v>
      </c>
      <c r="K22" s="389"/>
      <c r="O22" s="390">
        <v>4</v>
      </c>
      <c r="P22" s="391" t="s">
        <v>16</v>
      </c>
      <c r="Q22" s="392">
        <v>0</v>
      </c>
      <c r="S22" s="281">
        <v>2</v>
      </c>
      <c r="T22" s="388" t="str">
        <f>KWALIFICATIE!T23</f>
        <v>Mysterieuze Missers</v>
      </c>
      <c r="U22" s="388"/>
      <c r="X22" s="281" t="s">
        <v>16</v>
      </c>
      <c r="Y22" s="389" t="str">
        <f>KWALIFICATIE!T20</f>
        <v>Swift Dames</v>
      </c>
      <c r="Z22" s="389"/>
      <c r="AD22" s="390">
        <v>0</v>
      </c>
      <c r="AE22" s="391" t="s">
        <v>16</v>
      </c>
      <c r="AF22" s="392">
        <v>0</v>
      </c>
      <c r="AI22" s="8"/>
      <c r="AM22" s="253"/>
      <c r="AN22" s="253"/>
      <c r="AO22" s="325" t="s">
        <v>339</v>
      </c>
      <c r="AP22" s="327"/>
      <c r="AQ22" s="202"/>
      <c r="AT22" s="326"/>
    </row>
    <row r="23" spans="1:72" ht="13.5" customHeight="1" thickBot="1" x14ac:dyDescent="0.25">
      <c r="A23" s="481"/>
      <c r="D23" s="281">
        <v>3</v>
      </c>
      <c r="E23" s="388" t="str">
        <f>KWALIFICATIE!Z12</f>
        <v>FC Isjeneefer</v>
      </c>
      <c r="F23" s="388"/>
      <c r="I23" s="281" t="s">
        <v>16</v>
      </c>
      <c r="J23" s="389" t="str">
        <f>KWALIFICATIE!Z15</f>
        <v>Wart6</v>
      </c>
      <c r="K23" s="389"/>
      <c r="O23" s="390">
        <v>0</v>
      </c>
      <c r="P23" s="391" t="s">
        <v>16</v>
      </c>
      <c r="Q23" s="392">
        <v>2</v>
      </c>
      <c r="S23" s="281">
        <v>3</v>
      </c>
      <c r="T23" s="388" t="str">
        <f>KWALIFICATIE!L8</f>
        <v>Swift Zondag 11</v>
      </c>
      <c r="U23" s="388"/>
      <c r="V23" s="393"/>
      <c r="W23" s="393"/>
      <c r="X23" s="281" t="s">
        <v>16</v>
      </c>
      <c r="Y23" s="389" t="str">
        <f>KWALIFICATIE!L6</f>
        <v>Fons Vitaeplein</v>
      </c>
      <c r="Z23" s="389"/>
      <c r="AD23" s="390">
        <v>1</v>
      </c>
      <c r="AE23" s="391" t="s">
        <v>16</v>
      </c>
      <c r="AF23" s="392">
        <v>3</v>
      </c>
      <c r="AI23" s="8"/>
      <c r="AM23" s="253"/>
      <c r="AN23" s="253"/>
      <c r="AO23" s="311" t="s">
        <v>340</v>
      </c>
      <c r="AP23" s="328"/>
      <c r="AQ23" s="202"/>
      <c r="AT23" s="326"/>
    </row>
    <row r="24" spans="1:72" ht="13.5" customHeight="1" x14ac:dyDescent="0.2">
      <c r="A24" s="481"/>
      <c r="D24" s="281"/>
      <c r="E24" s="388"/>
      <c r="F24" s="388"/>
      <c r="I24" s="281"/>
      <c r="J24" s="389"/>
      <c r="K24" s="389"/>
      <c r="O24" s="390" t="s">
        <v>17</v>
      </c>
      <c r="P24" s="391" t="s">
        <v>16</v>
      </c>
      <c r="Q24" s="392" t="s">
        <v>17</v>
      </c>
      <c r="S24" s="281">
        <v>4</v>
      </c>
      <c r="T24" s="389" t="str">
        <f>KWALIFICATIE!L9</f>
        <v>Vrienden van Van Essen</v>
      </c>
      <c r="U24" s="388"/>
      <c r="V24" s="393"/>
      <c r="W24" s="393"/>
      <c r="X24" s="281" t="s">
        <v>16</v>
      </c>
      <c r="Y24" s="388" t="str">
        <f>KWALIFICATIE!L7</f>
        <v>De Flitsers 3</v>
      </c>
      <c r="Z24" s="389"/>
      <c r="AD24" s="390">
        <v>0</v>
      </c>
      <c r="AE24" s="391" t="s">
        <v>16</v>
      </c>
      <c r="AF24" s="392">
        <v>2</v>
      </c>
      <c r="AO24" s="134"/>
      <c r="AP24" s="134"/>
      <c r="AQ24" s="134"/>
      <c r="BA24" s="330"/>
      <c r="BB24" s="229"/>
      <c r="BH24" s="229"/>
      <c r="BK24" s="229"/>
    </row>
    <row r="25" spans="1:72" ht="13.5" customHeight="1" x14ac:dyDescent="0.2">
      <c r="A25" s="481"/>
      <c r="D25" s="281">
        <v>5</v>
      </c>
      <c r="E25" s="388" t="str">
        <f>KWALIFICATIE!E9</f>
        <v>Het Bestuur</v>
      </c>
      <c r="F25" s="388"/>
      <c r="I25" s="281" t="s">
        <v>16</v>
      </c>
      <c r="J25" s="389" t="str">
        <f>KWALIFICATIE!E5</f>
        <v>De Torpedo's</v>
      </c>
      <c r="K25" s="389"/>
      <c r="O25" s="390">
        <v>1</v>
      </c>
      <c r="P25" s="391" t="s">
        <v>16</v>
      </c>
      <c r="Q25" s="392">
        <v>4</v>
      </c>
      <c r="S25" s="281">
        <v>5</v>
      </c>
      <c r="T25" s="388" t="str">
        <f>KWALIFICATIE!S8</f>
        <v>Jenever op de Schinkel</v>
      </c>
      <c r="U25" s="388"/>
      <c r="X25" s="281" t="s">
        <v>16</v>
      </c>
      <c r="Y25" s="388" t="str">
        <f>KWALIFICATIE!S6</f>
        <v>Om des Keijzers baerdt</v>
      </c>
      <c r="Z25" s="389"/>
      <c r="AD25" s="390">
        <v>1</v>
      </c>
      <c r="AE25" s="391" t="s">
        <v>16</v>
      </c>
      <c r="AF25" s="392">
        <v>1</v>
      </c>
      <c r="AG25" s="207" t="str">
        <f>START!B16</f>
        <v>14:00 - 14:15 uur</v>
      </c>
      <c r="AH25" s="208"/>
      <c r="AI25" s="209"/>
      <c r="AJ25" s="210"/>
      <c r="AK25" s="209"/>
      <c r="AL25" s="209"/>
      <c r="AM25" s="273" t="s">
        <v>57</v>
      </c>
      <c r="AO25" s="207" t="str">
        <f>START!B22</f>
        <v>15:40 - 16:00 uur</v>
      </c>
      <c r="AP25" s="208"/>
      <c r="AQ25" s="209"/>
      <c r="AR25" s="210"/>
      <c r="AS25" s="209"/>
      <c r="AT25" s="209"/>
      <c r="AU25" s="273" t="s">
        <v>76</v>
      </c>
    </row>
    <row r="26" spans="1:72" ht="13.5" customHeight="1" x14ac:dyDescent="0.2">
      <c r="A26" s="481"/>
      <c r="D26" s="281">
        <v>6</v>
      </c>
      <c r="E26" s="388" t="str">
        <f>KWALIFICATIE!E7</f>
        <v>AccentSport Rakkers</v>
      </c>
      <c r="F26" s="388"/>
      <c r="I26" s="281" t="s">
        <v>16</v>
      </c>
      <c r="J26" s="389" t="str">
        <f>KWALIFICATIE!E6</f>
        <v>Asvv de Schollevers</v>
      </c>
      <c r="K26" s="389"/>
      <c r="O26" s="390">
        <v>0</v>
      </c>
      <c r="P26" s="391" t="s">
        <v>16</v>
      </c>
      <c r="Q26" s="392">
        <v>0</v>
      </c>
      <c r="R26" s="202"/>
      <c r="S26" s="281">
        <v>6</v>
      </c>
      <c r="T26" s="388" t="str">
        <f>KWALIFICATIE!S9</f>
        <v>Amsterdam Finest ss16</v>
      </c>
      <c r="U26" s="388"/>
      <c r="X26" s="281" t="s">
        <v>16</v>
      </c>
      <c r="Y26" s="389" t="str">
        <f>KWALIFICATIE!S7</f>
        <v>Team Bombert</v>
      </c>
      <c r="Z26" s="389"/>
      <c r="AD26" s="390">
        <v>1</v>
      </c>
      <c r="AE26" s="391" t="s">
        <v>16</v>
      </c>
      <c r="AF26" s="392">
        <v>2</v>
      </c>
      <c r="AG26" s="5">
        <v>1</v>
      </c>
      <c r="AI26" s="5" t="s">
        <v>16</v>
      </c>
      <c r="AN26" s="4"/>
      <c r="AO26" s="5">
        <v>1</v>
      </c>
      <c r="AQ26" s="335" t="s">
        <v>16</v>
      </c>
    </row>
    <row r="27" spans="1:72" ht="13.5" customHeight="1" x14ac:dyDescent="0.2">
      <c r="A27" s="481"/>
      <c r="AG27" s="5">
        <v>2</v>
      </c>
      <c r="AI27" s="5" t="s">
        <v>16</v>
      </c>
      <c r="AN27" s="3"/>
      <c r="AO27" s="5">
        <v>2</v>
      </c>
      <c r="AQ27" s="335" t="s">
        <v>16</v>
      </c>
      <c r="AV27" s="164" t="s">
        <v>15</v>
      </c>
      <c r="AW27" s="12"/>
    </row>
    <row r="28" spans="1:72" ht="13.5" customHeight="1" x14ac:dyDescent="0.2">
      <c r="A28" s="481"/>
      <c r="D28" s="370" t="str">
        <f>START!B13</f>
        <v>13:15 - 13:30 uur</v>
      </c>
      <c r="E28" s="371"/>
      <c r="F28" s="371"/>
      <c r="G28" s="371"/>
      <c r="H28" s="371"/>
      <c r="I28" s="371"/>
      <c r="J28" s="371"/>
      <c r="K28" s="371"/>
      <c r="L28" s="371"/>
      <c r="M28" s="371"/>
      <c r="N28" s="371"/>
      <c r="O28" s="371"/>
      <c r="P28" s="371"/>
      <c r="Q28" s="369" t="s">
        <v>310</v>
      </c>
      <c r="S28" s="370" t="str">
        <f>START!B18</f>
        <v>14:30 - 14:45 uur</v>
      </c>
      <c r="T28" s="376"/>
      <c r="U28" s="376"/>
      <c r="V28" s="376"/>
      <c r="W28" s="376"/>
      <c r="X28" s="376"/>
      <c r="Y28" s="376"/>
      <c r="Z28" s="376"/>
      <c r="AA28" s="376"/>
      <c r="AB28" s="376"/>
      <c r="AC28" s="376"/>
      <c r="AD28" s="376"/>
      <c r="AE28" s="376"/>
      <c r="AF28" s="369" t="s">
        <v>81</v>
      </c>
      <c r="AG28" s="5">
        <v>3</v>
      </c>
      <c r="AI28" s="14" t="s">
        <v>16</v>
      </c>
      <c r="AN28" s="3"/>
      <c r="AO28" s="5">
        <v>3</v>
      </c>
      <c r="AQ28" s="334" t="s">
        <v>16</v>
      </c>
    </row>
    <row r="29" spans="1:72" ht="13.5" customHeight="1" x14ac:dyDescent="0.2">
      <c r="A29" s="481"/>
      <c r="D29" s="281">
        <v>1</v>
      </c>
      <c r="E29" s="388" t="str">
        <f>KWALIFICATIE!T20</f>
        <v>Swift Dames</v>
      </c>
      <c r="F29" s="388"/>
      <c r="I29" s="281" t="s">
        <v>16</v>
      </c>
      <c r="J29" s="389" t="str">
        <f>KWALIFICATIE!T22</f>
        <v>AntiLope</v>
      </c>
      <c r="K29" s="389"/>
      <c r="O29" s="390">
        <v>2</v>
      </c>
      <c r="P29" s="391" t="s">
        <v>16</v>
      </c>
      <c r="Q29" s="392">
        <v>0</v>
      </c>
      <c r="S29" s="281">
        <v>1</v>
      </c>
      <c r="T29" s="388" t="str">
        <f>KWALIFICATIE!AA21</f>
        <v>De Chouffjes</v>
      </c>
      <c r="U29" s="388"/>
      <c r="V29" s="393"/>
      <c r="W29" s="393"/>
      <c r="X29" s="281" t="s">
        <v>16</v>
      </c>
      <c r="Y29" s="389" t="str">
        <f>KWALIFICATIE!AA22</f>
        <v>De Vedettjes</v>
      </c>
      <c r="Z29" s="389"/>
      <c r="AA29" s="393"/>
      <c r="AB29" s="393"/>
      <c r="AD29" s="390">
        <v>0</v>
      </c>
      <c r="AE29" s="391" t="s">
        <v>16</v>
      </c>
      <c r="AF29" s="392">
        <v>2</v>
      </c>
      <c r="AG29" s="5">
        <v>4</v>
      </c>
      <c r="AI29" s="14" t="s">
        <v>16</v>
      </c>
      <c r="AN29" s="3"/>
      <c r="AO29" s="5">
        <v>4</v>
      </c>
      <c r="AQ29" s="334" t="s">
        <v>16</v>
      </c>
      <c r="BS29" s="179"/>
      <c r="BT29" s="175"/>
    </row>
    <row r="30" spans="1:72" ht="13.5" customHeight="1" x14ac:dyDescent="0.2">
      <c r="A30" s="481"/>
      <c r="D30" s="281">
        <v>2</v>
      </c>
      <c r="E30" s="388" t="str">
        <f>KWALIFICATIE!T23</f>
        <v>Mysterieuze Missers</v>
      </c>
      <c r="F30" s="388"/>
      <c r="I30" s="281" t="s">
        <v>16</v>
      </c>
      <c r="J30" s="389" t="str">
        <f>KWALIFICATIE!T21</f>
        <v>De Ronaldozen</v>
      </c>
      <c r="K30" s="389"/>
      <c r="O30" s="390">
        <v>0</v>
      </c>
      <c r="P30" s="391" t="s">
        <v>16</v>
      </c>
      <c r="Q30" s="392">
        <v>2</v>
      </c>
      <c r="S30" s="281">
        <v>2</v>
      </c>
      <c r="T30" s="389" t="str">
        <f>KWALIFICATIE!AA23</f>
        <v>RAP 2</v>
      </c>
      <c r="U30" s="388"/>
      <c r="V30" s="393"/>
      <c r="W30" s="393"/>
      <c r="X30" s="281" t="s">
        <v>16</v>
      </c>
      <c r="Y30" s="388" t="str">
        <f>KWALIFICATIE!AA20</f>
        <v>Borrelnood</v>
      </c>
      <c r="Z30" s="389"/>
      <c r="AA30" s="393"/>
      <c r="AB30" s="393"/>
      <c r="AD30" s="390">
        <v>0</v>
      </c>
      <c r="AE30" s="391" t="s">
        <v>16</v>
      </c>
      <c r="AF30" s="392">
        <v>1</v>
      </c>
      <c r="AG30" s="5">
        <v>5</v>
      </c>
      <c r="AI30" s="14" t="s">
        <v>16</v>
      </c>
      <c r="AN30" s="3"/>
      <c r="AO30" s="5">
        <v>5</v>
      </c>
      <c r="AQ30" s="334" t="s">
        <v>16</v>
      </c>
      <c r="BS30" s="179"/>
      <c r="BT30" s="175"/>
    </row>
    <row r="31" spans="1:72" ht="13.5" customHeight="1" x14ac:dyDescent="0.2">
      <c r="A31" s="481"/>
      <c r="D31" s="281">
        <v>3</v>
      </c>
      <c r="E31" s="388" t="str">
        <f>KWALIFICATIE!L9</f>
        <v>Vrienden van Van Essen</v>
      </c>
      <c r="F31" s="388"/>
      <c r="I31" s="281" t="s">
        <v>16</v>
      </c>
      <c r="J31" s="389" t="str">
        <f>KWALIFICATIE!L5</f>
        <v>De Doofpot</v>
      </c>
      <c r="K31" s="389"/>
      <c r="O31" s="390">
        <v>0</v>
      </c>
      <c r="P31" s="391" t="s">
        <v>16</v>
      </c>
      <c r="Q31" s="392">
        <v>2</v>
      </c>
      <c r="S31" s="281">
        <v>3</v>
      </c>
      <c r="T31" s="388" t="str">
        <f>KWALIFICATIE!Z8</f>
        <v>FC EPERNAY</v>
      </c>
      <c r="U31" s="388"/>
      <c r="X31" s="281" t="s">
        <v>16</v>
      </c>
      <c r="Y31" s="389" t="str">
        <f>KWALIFICATIE!Z6</f>
        <v>FC Papa</v>
      </c>
      <c r="Z31" s="389"/>
      <c r="AD31" s="390">
        <v>3</v>
      </c>
      <c r="AE31" s="391" t="s">
        <v>16</v>
      </c>
      <c r="AF31" s="392">
        <v>0</v>
      </c>
      <c r="AG31" s="5">
        <v>6</v>
      </c>
      <c r="AI31" s="14" t="s">
        <v>16</v>
      </c>
      <c r="AN31" s="3"/>
      <c r="AO31" s="5">
        <v>6</v>
      </c>
      <c r="AQ31" s="334" t="s">
        <v>16</v>
      </c>
      <c r="BS31" s="179"/>
      <c r="BT31" s="175"/>
    </row>
    <row r="32" spans="1:72" ht="13.5" customHeight="1" x14ac:dyDescent="0.2">
      <c r="A32" s="481"/>
      <c r="D32" s="281">
        <v>4</v>
      </c>
      <c r="E32" s="388" t="str">
        <f>KWALIFICATIE!L7</f>
        <v>De Flitsers 3</v>
      </c>
      <c r="F32" s="388"/>
      <c r="I32" s="281" t="s">
        <v>16</v>
      </c>
      <c r="J32" s="389" t="str">
        <f>KWALIFICATIE!L6</f>
        <v>Fons Vitaeplein</v>
      </c>
      <c r="K32" s="389"/>
      <c r="O32" s="390">
        <v>1</v>
      </c>
      <c r="P32" s="391" t="s">
        <v>16</v>
      </c>
      <c r="Q32" s="392">
        <v>3</v>
      </c>
      <c r="S32" s="281">
        <v>4</v>
      </c>
      <c r="T32" s="389" t="str">
        <f>KWALIFICATIE!Z9</f>
        <v>FC Vondelpark</v>
      </c>
      <c r="U32" s="388"/>
      <c r="X32" s="281" t="s">
        <v>16</v>
      </c>
      <c r="Y32" s="388" t="str">
        <f>KWALIFICATIE!Z7</f>
        <v>Veddetero's klunzen</v>
      </c>
      <c r="Z32" s="389"/>
      <c r="AD32" s="390">
        <v>1</v>
      </c>
      <c r="AE32" s="391" t="s">
        <v>16</v>
      </c>
      <c r="AF32" s="392">
        <v>2</v>
      </c>
      <c r="AG32" s="312"/>
      <c r="AH32" s="1"/>
      <c r="AI32" s="1"/>
      <c r="AJ32" s="1"/>
      <c r="AK32" s="1"/>
      <c r="AL32" s="1"/>
      <c r="AM32" s="1"/>
      <c r="AN32" s="3"/>
      <c r="AO32" s="312"/>
      <c r="AP32" s="1"/>
      <c r="BS32" s="179"/>
      <c r="BT32" s="175"/>
    </row>
    <row r="33" spans="1:72" ht="13.5" customHeight="1" x14ac:dyDescent="0.2">
      <c r="A33" s="481"/>
      <c r="D33" s="281">
        <v>5</v>
      </c>
      <c r="E33" s="388" t="str">
        <f>KWALIFICATIE!S9</f>
        <v>Amsterdam Finest ss16</v>
      </c>
      <c r="F33" s="388"/>
      <c r="I33" s="281" t="s">
        <v>16</v>
      </c>
      <c r="J33" s="389" t="str">
        <f>KWALIFICATIE!S5</f>
        <v>De Kabel</v>
      </c>
      <c r="K33" s="389"/>
      <c r="O33" s="390">
        <v>0</v>
      </c>
      <c r="P33" s="391" t="s">
        <v>16</v>
      </c>
      <c r="Q33" s="392">
        <v>0</v>
      </c>
      <c r="S33" s="281">
        <v>5</v>
      </c>
      <c r="T33" s="388" t="str">
        <f>KWALIFICATIE!E15</f>
        <v>IRRIDUCIBILI</v>
      </c>
      <c r="U33" s="388"/>
      <c r="V33" s="393"/>
      <c r="W33" s="393"/>
      <c r="X33" s="281" t="s">
        <v>16</v>
      </c>
      <c r="Y33" s="389" t="str">
        <f>KWALIFICATIE!E13</f>
        <v>MAN ON F.C</v>
      </c>
      <c r="Z33" s="389"/>
      <c r="AD33" s="390">
        <v>0</v>
      </c>
      <c r="AE33" s="391" t="s">
        <v>16</v>
      </c>
      <c r="AF33" s="392">
        <v>3</v>
      </c>
      <c r="AG33" s="207" t="str">
        <f>START!B17</f>
        <v>14:15 - 14:30 uur</v>
      </c>
      <c r="AH33" s="208"/>
      <c r="AI33" s="209"/>
      <c r="AJ33" s="210"/>
      <c r="AK33" s="209"/>
      <c r="AL33" s="209"/>
      <c r="AM33" s="273" t="s">
        <v>79</v>
      </c>
      <c r="AN33" s="3"/>
      <c r="AO33" s="207" t="str">
        <f>START!B23</f>
        <v>16:00 - 16:20 uur</v>
      </c>
      <c r="AP33" s="208"/>
      <c r="AQ33" s="209"/>
      <c r="AR33" s="210"/>
      <c r="AS33" s="209"/>
      <c r="AT33" s="209"/>
      <c r="AU33" s="273" t="s">
        <v>80</v>
      </c>
      <c r="BS33" s="179"/>
      <c r="BT33" s="175"/>
    </row>
    <row r="34" spans="1:72" ht="13.5" customHeight="1" x14ac:dyDescent="0.2">
      <c r="A34" s="481"/>
      <c r="B34" s="202"/>
      <c r="C34" s="202"/>
      <c r="D34" s="281">
        <v>6</v>
      </c>
      <c r="E34" s="388" t="str">
        <f>KWALIFICATIE!S7</f>
        <v>Team Bombert</v>
      </c>
      <c r="F34" s="388"/>
      <c r="I34" s="281" t="s">
        <v>16</v>
      </c>
      <c r="J34" s="389" t="str">
        <f>KWALIFICATIE!S6</f>
        <v>Om des Keijzers baerdt</v>
      </c>
      <c r="K34" s="389"/>
      <c r="O34" s="390">
        <v>4</v>
      </c>
      <c r="P34" s="391" t="s">
        <v>16</v>
      </c>
      <c r="Q34" s="392">
        <v>0</v>
      </c>
      <c r="R34" s="202"/>
      <c r="S34" s="281">
        <v>6</v>
      </c>
      <c r="T34" s="389" t="str">
        <f>KWALIFICATIE!E16</f>
        <v>FC Carnabal</v>
      </c>
      <c r="U34" s="388"/>
      <c r="V34" s="393"/>
      <c r="W34" s="393"/>
      <c r="X34" s="281" t="s">
        <v>16</v>
      </c>
      <c r="Y34" s="388" t="str">
        <f>KWALIFICATIE!E14</f>
        <v>Monnie Represent</v>
      </c>
      <c r="Z34" s="389"/>
      <c r="AD34" s="390">
        <v>3</v>
      </c>
      <c r="AE34" s="391" t="s">
        <v>16</v>
      </c>
      <c r="AF34" s="392">
        <v>0</v>
      </c>
      <c r="AG34" s="5">
        <v>1</v>
      </c>
      <c r="AI34" s="335" t="s">
        <v>16</v>
      </c>
      <c r="AN34" s="8"/>
      <c r="AO34" s="5">
        <v>1</v>
      </c>
      <c r="AQ34" s="335" t="s">
        <v>16</v>
      </c>
      <c r="AX34" s="334"/>
      <c r="BS34" s="179"/>
      <c r="BT34" s="175"/>
    </row>
    <row r="35" spans="1:72" ht="13.5" customHeight="1" x14ac:dyDescent="0.2">
      <c r="A35" s="481"/>
      <c r="B35" s="202"/>
      <c r="C35" s="202"/>
      <c r="R35" s="202"/>
      <c r="AG35" s="5">
        <v>2</v>
      </c>
      <c r="AI35" s="335" t="s">
        <v>16</v>
      </c>
      <c r="AN35" s="1"/>
      <c r="AO35" s="5">
        <v>2</v>
      </c>
      <c r="AQ35" s="335" t="s">
        <v>16</v>
      </c>
    </row>
    <row r="36" spans="1:72" ht="13.5" customHeight="1" x14ac:dyDescent="0.2">
      <c r="A36" s="481"/>
      <c r="B36" s="202"/>
      <c r="C36" s="202"/>
      <c r="D36" s="370" t="str">
        <f>START!B14</f>
        <v>13:30 - 13:45 uur</v>
      </c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69" t="s">
        <v>57</v>
      </c>
      <c r="S36" s="370" t="str">
        <f>START!B19</f>
        <v>14:45 - 15.00 uur</v>
      </c>
      <c r="T36" s="376"/>
      <c r="U36" s="376"/>
      <c r="V36" s="376"/>
      <c r="W36" s="376"/>
      <c r="X36" s="376"/>
      <c r="Y36" s="376"/>
      <c r="Z36" s="376"/>
      <c r="AA36" s="376"/>
      <c r="AB36" s="376"/>
      <c r="AC36" s="376"/>
      <c r="AD36" s="376"/>
      <c r="AE36" s="376"/>
      <c r="AF36" s="369" t="s">
        <v>83</v>
      </c>
      <c r="AG36" s="5">
        <v>3</v>
      </c>
      <c r="AI36" s="335" t="s">
        <v>16</v>
      </c>
      <c r="AN36" s="3"/>
      <c r="AO36" s="5">
        <v>3</v>
      </c>
      <c r="AQ36" s="335" t="s">
        <v>16</v>
      </c>
      <c r="BS36" s="179"/>
      <c r="BT36" s="175"/>
    </row>
    <row r="37" spans="1:72" ht="13.5" customHeight="1" x14ac:dyDescent="0.2">
      <c r="A37" s="481"/>
      <c r="B37" s="202"/>
      <c r="C37" s="202"/>
      <c r="D37" s="281">
        <v>1</v>
      </c>
      <c r="E37" s="388" t="str">
        <f>KWALIFICATIE!AA20</f>
        <v>Borrelnood</v>
      </c>
      <c r="F37" s="388"/>
      <c r="G37" s="393"/>
      <c r="H37" s="393"/>
      <c r="I37" s="281" t="s">
        <v>16</v>
      </c>
      <c r="J37" s="389" t="str">
        <f>KWALIFICATIE!AA22</f>
        <v>De Vedettjes</v>
      </c>
      <c r="K37" s="389"/>
      <c r="L37" s="393"/>
      <c r="M37" s="393"/>
      <c r="O37" s="390">
        <v>1</v>
      </c>
      <c r="P37" s="391" t="s">
        <v>16</v>
      </c>
      <c r="Q37" s="392">
        <v>3</v>
      </c>
      <c r="S37" s="281">
        <v>1</v>
      </c>
      <c r="T37" s="388" t="str">
        <f>KWALIFICATIE!F23</f>
        <v>Rap</v>
      </c>
      <c r="U37" s="388"/>
      <c r="V37" s="388"/>
      <c r="W37" s="388"/>
      <c r="X37" s="388" t="s">
        <v>16</v>
      </c>
      <c r="Y37" s="388" t="str">
        <f>KWALIFICATIE!F21</f>
        <v>Geuzenmiddenmeer</v>
      </c>
      <c r="Z37" s="388"/>
      <c r="AA37" s="388"/>
      <c r="AB37" s="388"/>
      <c r="AD37" s="390">
        <v>0</v>
      </c>
      <c r="AE37" s="391" t="s">
        <v>16</v>
      </c>
      <c r="AF37" s="392">
        <v>2</v>
      </c>
      <c r="AG37" s="5">
        <v>4</v>
      </c>
      <c r="AI37" s="335" t="s">
        <v>16</v>
      </c>
      <c r="AN37" s="3"/>
      <c r="AO37" s="5">
        <v>4</v>
      </c>
      <c r="AQ37" s="335" t="s">
        <v>16</v>
      </c>
      <c r="BS37" s="179"/>
      <c r="BT37" s="175"/>
    </row>
    <row r="38" spans="1:72" ht="13.5" customHeight="1" x14ac:dyDescent="0.2">
      <c r="A38" s="481"/>
      <c r="B38" s="202"/>
      <c r="C38" s="202"/>
      <c r="D38" s="281">
        <v>2</v>
      </c>
      <c r="E38" s="389" t="str">
        <f>KWALIFICATIE!AA23</f>
        <v>RAP 2</v>
      </c>
      <c r="F38" s="388"/>
      <c r="G38" s="393"/>
      <c r="H38" s="393"/>
      <c r="I38" s="281" t="s">
        <v>16</v>
      </c>
      <c r="J38" s="388" t="str">
        <f>KWALIFICATIE!AA21</f>
        <v>De Chouffjes</v>
      </c>
      <c r="K38" s="389"/>
      <c r="L38" s="393"/>
      <c r="M38" s="393"/>
      <c r="O38" s="390">
        <v>3</v>
      </c>
      <c r="P38" s="391" t="s">
        <v>16</v>
      </c>
      <c r="Q38" s="392">
        <v>0</v>
      </c>
      <c r="S38" s="281">
        <v>2</v>
      </c>
      <c r="T38" s="388" t="str">
        <f>KWALIFICATIE!F24</f>
        <v>De Dinkies</v>
      </c>
      <c r="U38" s="388"/>
      <c r="V38" s="388"/>
      <c r="W38" s="388"/>
      <c r="X38" s="388" t="s">
        <v>16</v>
      </c>
      <c r="Y38" s="388" t="str">
        <f>KWALIFICATIE!F22</f>
        <v>TEC-BTV</v>
      </c>
      <c r="Z38" s="388"/>
      <c r="AA38" s="388"/>
      <c r="AB38" s="388"/>
      <c r="AD38" s="390">
        <v>0</v>
      </c>
      <c r="AE38" s="391" t="s">
        <v>16</v>
      </c>
      <c r="AF38" s="392">
        <v>1</v>
      </c>
      <c r="AG38" s="5">
        <v>5</v>
      </c>
      <c r="AI38" s="14" t="s">
        <v>16</v>
      </c>
      <c r="AN38" s="3"/>
      <c r="AO38" s="5">
        <v>5</v>
      </c>
      <c r="AQ38" s="335" t="s">
        <v>16</v>
      </c>
      <c r="AY38" s="326" t="s">
        <v>61</v>
      </c>
      <c r="AZ38" s="334" t="s">
        <v>16</v>
      </c>
      <c r="BA38" s="326" t="s">
        <v>62</v>
      </c>
      <c r="BB38" s="334" t="s">
        <v>17</v>
      </c>
      <c r="BC38" s="216" t="s">
        <v>63</v>
      </c>
      <c r="BD38" s="334" t="s">
        <v>17</v>
      </c>
      <c r="BS38" s="179"/>
      <c r="BT38" s="175"/>
    </row>
    <row r="39" spans="1:72" ht="13.5" customHeight="1" x14ac:dyDescent="0.2">
      <c r="A39" s="481"/>
      <c r="B39" s="202"/>
      <c r="C39" s="202"/>
      <c r="D39" s="281">
        <v>3</v>
      </c>
      <c r="E39" s="388" t="str">
        <f>KWALIFICATIE!Z9</f>
        <v>FC Vondelpark</v>
      </c>
      <c r="F39" s="388"/>
      <c r="I39" s="281" t="s">
        <v>16</v>
      </c>
      <c r="J39" s="388" t="str">
        <f>KWALIFICATIE!Z5</f>
        <v>IAMB&amp;B</v>
      </c>
      <c r="K39" s="389"/>
      <c r="O39" s="390">
        <v>0</v>
      </c>
      <c r="P39" s="391" t="s">
        <v>16</v>
      </c>
      <c r="Q39" s="392">
        <v>4</v>
      </c>
      <c r="S39" s="281">
        <v>3</v>
      </c>
      <c r="T39" s="388" t="str">
        <f>KWALIFICATIE!L15</f>
        <v>Fred Bacon Zalf-fabriekje</v>
      </c>
      <c r="U39" s="388"/>
      <c r="V39" s="388"/>
      <c r="W39" s="388"/>
      <c r="X39" s="388" t="s">
        <v>16</v>
      </c>
      <c r="Y39" s="388" t="str">
        <f>KWALIFICATIE!L13</f>
        <v>Sammi's Sweathearts</v>
      </c>
      <c r="Z39" s="388"/>
      <c r="AA39" s="388"/>
      <c r="AB39" s="388"/>
      <c r="AD39" s="390">
        <v>0</v>
      </c>
      <c r="AE39" s="391" t="s">
        <v>16</v>
      </c>
      <c r="AF39" s="392">
        <v>0</v>
      </c>
      <c r="AG39" s="5">
        <v>6</v>
      </c>
      <c r="AI39" s="14" t="s">
        <v>16</v>
      </c>
      <c r="AN39" s="3"/>
      <c r="AO39" s="5">
        <v>6</v>
      </c>
      <c r="AQ39" s="335" t="s">
        <v>16</v>
      </c>
      <c r="AY39" s="282" t="s">
        <v>64</v>
      </c>
      <c r="AZ39" s="334" t="s">
        <v>16</v>
      </c>
      <c r="BA39" s="282" t="s">
        <v>65</v>
      </c>
      <c r="BB39" s="334" t="s">
        <v>17</v>
      </c>
      <c r="BC39" s="217" t="s">
        <v>66</v>
      </c>
      <c r="BD39" s="334" t="s">
        <v>17</v>
      </c>
      <c r="BS39" s="179"/>
      <c r="BT39" s="175"/>
    </row>
    <row r="40" spans="1:72" ht="13.5" customHeight="1" x14ac:dyDescent="0.2">
      <c r="A40" s="481"/>
      <c r="B40" s="202"/>
      <c r="C40" s="202"/>
      <c r="D40" s="281">
        <v>4</v>
      </c>
      <c r="E40" s="388" t="str">
        <f>KWALIFICATIE!Z7</f>
        <v>Veddetero's klunzen</v>
      </c>
      <c r="F40" s="388"/>
      <c r="I40" s="281" t="s">
        <v>16</v>
      </c>
      <c r="J40" s="389" t="str">
        <f>KWALIFICATIE!Z6</f>
        <v>FC Papa</v>
      </c>
      <c r="K40" s="389"/>
      <c r="O40" s="390">
        <v>3</v>
      </c>
      <c r="P40" s="391" t="s">
        <v>16</v>
      </c>
      <c r="Q40" s="392">
        <v>1</v>
      </c>
      <c r="S40" s="281">
        <v>4</v>
      </c>
      <c r="T40" s="388" t="str">
        <f>KWALIFICATIE!L16</f>
        <v>Team Bublé</v>
      </c>
      <c r="U40" s="388"/>
      <c r="X40" s="281" t="s">
        <v>16</v>
      </c>
      <c r="Y40" s="389" t="str">
        <f>KWALIFICATIE!L14</f>
        <v>#illuminaticonfirmed</v>
      </c>
      <c r="AD40" s="390">
        <v>0</v>
      </c>
      <c r="AE40" s="391" t="s">
        <v>16</v>
      </c>
      <c r="AF40" s="392">
        <v>0</v>
      </c>
      <c r="AG40" s="335"/>
      <c r="AH40" s="1"/>
      <c r="AI40" s="1"/>
      <c r="AJ40" s="1"/>
      <c r="AK40" s="1"/>
      <c r="AL40" s="1"/>
      <c r="AM40" s="1"/>
      <c r="AN40" s="3"/>
      <c r="AO40" s="335"/>
      <c r="AP40" s="1"/>
      <c r="AX40" s="334"/>
      <c r="AY40" s="326" t="s">
        <v>67</v>
      </c>
      <c r="AZ40" s="334" t="s">
        <v>16</v>
      </c>
      <c r="BA40" s="282" t="s">
        <v>68</v>
      </c>
      <c r="BB40" s="334" t="s">
        <v>17</v>
      </c>
      <c r="BC40" s="217" t="s">
        <v>69</v>
      </c>
      <c r="BD40" s="334" t="s">
        <v>17</v>
      </c>
      <c r="BS40" s="179"/>
      <c r="BT40" s="175"/>
    </row>
    <row r="41" spans="1:72" ht="13.5" customHeight="1" x14ac:dyDescent="0.2">
      <c r="A41" s="481"/>
      <c r="B41" s="202"/>
      <c r="C41" s="202"/>
      <c r="D41" s="281">
        <v>5</v>
      </c>
      <c r="E41" s="388" t="str">
        <f>KWALIFICATIE!E16</f>
        <v>FC Carnabal</v>
      </c>
      <c r="F41" s="388"/>
      <c r="I41" s="281" t="s">
        <v>16</v>
      </c>
      <c r="J41" s="389" t="str">
        <f>KWALIFICATIE!E12</f>
        <v>Carte blanche</v>
      </c>
      <c r="K41" s="389"/>
      <c r="O41" s="390">
        <v>0</v>
      </c>
      <c r="P41" s="391" t="s">
        <v>16</v>
      </c>
      <c r="Q41" s="392">
        <v>1</v>
      </c>
      <c r="S41" s="281">
        <v>5</v>
      </c>
      <c r="T41" s="388" t="str">
        <f>KWALIFICATIE!S15</f>
        <v>Swiffie 5</v>
      </c>
      <c r="U41" s="388"/>
      <c r="X41" s="281" t="s">
        <v>16</v>
      </c>
      <c r="Y41" s="389" t="str">
        <f>KWALIFICATIE!S13</f>
        <v>Combiwel</v>
      </c>
      <c r="Z41" s="389"/>
      <c r="AD41" s="390">
        <v>0</v>
      </c>
      <c r="AE41" s="391" t="s">
        <v>16</v>
      </c>
      <c r="AF41" s="392">
        <v>2</v>
      </c>
      <c r="AG41" s="207" t="str">
        <f>START!B18</f>
        <v>14:30 - 14:45 uur</v>
      </c>
      <c r="AH41" s="208"/>
      <c r="AI41" s="209"/>
      <c r="AJ41" s="210"/>
      <c r="AK41" s="209"/>
      <c r="AL41" s="209"/>
      <c r="AM41" s="273" t="s">
        <v>81</v>
      </c>
      <c r="AN41" s="3"/>
      <c r="AO41" s="207" t="str">
        <f>START!B24</f>
        <v>16:20 - 16:40 uur</v>
      </c>
      <c r="AP41" s="208"/>
      <c r="AQ41" s="209"/>
      <c r="AR41" s="210"/>
      <c r="AS41" s="209"/>
      <c r="AT41" s="209"/>
      <c r="AU41" s="273" t="s">
        <v>82</v>
      </c>
      <c r="AX41" s="334"/>
      <c r="AY41" s="326" t="s">
        <v>70</v>
      </c>
      <c r="AZ41" s="334" t="s">
        <v>16</v>
      </c>
      <c r="BA41" s="282" t="s">
        <v>71</v>
      </c>
      <c r="BB41" s="334" t="s">
        <v>17</v>
      </c>
      <c r="BC41" s="217" t="s">
        <v>72</v>
      </c>
      <c r="BD41" s="334" t="s">
        <v>17</v>
      </c>
      <c r="BS41" s="179"/>
      <c r="BT41" s="175"/>
    </row>
    <row r="42" spans="1:72" ht="13.5" customHeight="1" x14ac:dyDescent="0.2">
      <c r="A42" s="481"/>
      <c r="B42" s="202"/>
      <c r="C42" s="202"/>
      <c r="D42" s="281">
        <v>6</v>
      </c>
      <c r="E42" s="389" t="str">
        <f>KWALIFICATIE!E14</f>
        <v>Monnie Represent</v>
      </c>
      <c r="F42" s="388"/>
      <c r="I42" s="281" t="s">
        <v>16</v>
      </c>
      <c r="J42" s="388" t="str">
        <f>KWALIFICATIE!E13</f>
        <v>MAN ON F.C</v>
      </c>
      <c r="K42" s="389"/>
      <c r="O42" s="390">
        <v>0</v>
      </c>
      <c r="P42" s="391" t="s">
        <v>16</v>
      </c>
      <c r="Q42" s="392">
        <v>5</v>
      </c>
      <c r="R42" s="202"/>
      <c r="S42" s="281">
        <v>6</v>
      </c>
      <c r="T42" s="389" t="str">
        <f>KWALIFICATIE!S16</f>
        <v>Sporting Almere</v>
      </c>
      <c r="U42" s="388"/>
      <c r="X42" s="281" t="s">
        <v>16</v>
      </c>
      <c r="Y42" s="388" t="str">
        <f>KWALIFICATIE!S14</f>
        <v>Patti don't shout @ me</v>
      </c>
      <c r="Z42" s="389"/>
      <c r="AD42" s="390">
        <v>6</v>
      </c>
      <c r="AE42" s="391" t="s">
        <v>16</v>
      </c>
      <c r="AF42" s="392">
        <v>0</v>
      </c>
      <c r="AG42" s="5">
        <v>1</v>
      </c>
      <c r="AI42" s="5" t="s">
        <v>16</v>
      </c>
      <c r="AN42" s="8"/>
      <c r="AO42" s="5">
        <v>1</v>
      </c>
      <c r="AQ42" s="335" t="s">
        <v>16</v>
      </c>
      <c r="AX42" s="334"/>
      <c r="AY42" s="326" t="s">
        <v>73</v>
      </c>
      <c r="AZ42" s="335"/>
      <c r="BA42" s="218" t="s">
        <v>74</v>
      </c>
      <c r="BB42" s="334" t="s">
        <v>17</v>
      </c>
      <c r="BC42" s="334" t="s">
        <v>16</v>
      </c>
      <c r="BD42" s="334" t="s">
        <v>17</v>
      </c>
    </row>
    <row r="43" spans="1:72" ht="13.5" customHeight="1" x14ac:dyDescent="0.2">
      <c r="A43" s="481"/>
      <c r="B43" s="202"/>
      <c r="C43" s="202"/>
      <c r="AG43" s="5">
        <v>2</v>
      </c>
      <c r="AI43" s="5" t="s">
        <v>16</v>
      </c>
      <c r="AN43" s="8"/>
      <c r="AO43" s="5">
        <v>2</v>
      </c>
      <c r="AQ43" s="335" t="s">
        <v>16</v>
      </c>
      <c r="AY43" s="326" t="s">
        <v>73</v>
      </c>
      <c r="AZ43" s="335"/>
      <c r="BA43" s="218" t="s">
        <v>77</v>
      </c>
      <c r="BB43" s="334" t="s">
        <v>17</v>
      </c>
      <c r="BC43" s="334" t="s">
        <v>16</v>
      </c>
      <c r="BD43" s="334" t="s">
        <v>17</v>
      </c>
    </row>
    <row r="44" spans="1:72" ht="13.5" customHeight="1" x14ac:dyDescent="0.2">
      <c r="A44" s="481"/>
      <c r="B44" s="202"/>
      <c r="C44" s="202"/>
      <c r="D44" s="370" t="str">
        <f>START!B15</f>
        <v>13:45 - 14.00 uur</v>
      </c>
      <c r="E44" s="376"/>
      <c r="F44" s="376"/>
      <c r="G44" s="376"/>
      <c r="H44" s="376"/>
      <c r="I44" s="376"/>
      <c r="J44" s="376"/>
      <c r="K44" s="376"/>
      <c r="L44" s="376"/>
      <c r="M44" s="376"/>
      <c r="N44" s="376"/>
      <c r="O44" s="376"/>
      <c r="P44" s="376"/>
      <c r="Q44" s="369" t="s">
        <v>59</v>
      </c>
      <c r="S44" s="370" t="str">
        <f>START!B20</f>
        <v>15:00 - 15:20 uur</v>
      </c>
      <c r="T44" s="376"/>
      <c r="U44" s="376"/>
      <c r="V44" s="376"/>
      <c r="W44" s="376"/>
      <c r="X44" s="376"/>
      <c r="Y44" s="376"/>
      <c r="Z44" s="376"/>
      <c r="AA44" s="376"/>
      <c r="AB44" s="376"/>
      <c r="AC44" s="376"/>
      <c r="AD44" s="376"/>
      <c r="AE44" s="376"/>
      <c r="AF44" s="369" t="s">
        <v>58</v>
      </c>
      <c r="AG44" s="5">
        <v>3</v>
      </c>
      <c r="AI44" s="14" t="s">
        <v>16</v>
      </c>
      <c r="AN44" s="3"/>
      <c r="AO44" s="5">
        <v>3</v>
      </c>
      <c r="AQ44" s="335" t="s">
        <v>16</v>
      </c>
      <c r="AX44" s="324"/>
      <c r="AY44" s="326" t="s">
        <v>73</v>
      </c>
      <c r="AZ44" s="335"/>
      <c r="BA44" s="218" t="s">
        <v>78</v>
      </c>
      <c r="BB44" s="334" t="s">
        <v>17</v>
      </c>
      <c r="BC44" s="334" t="s">
        <v>16</v>
      </c>
      <c r="BD44" s="334" t="s">
        <v>17</v>
      </c>
      <c r="BE44" s="334"/>
      <c r="BF44" s="334"/>
      <c r="BS44" s="179"/>
      <c r="BT44" s="175"/>
    </row>
    <row r="45" spans="1:72" ht="13.5" customHeight="1" x14ac:dyDescent="0.2">
      <c r="A45" s="481"/>
      <c r="B45" s="202"/>
      <c r="C45" s="202"/>
      <c r="D45" s="281">
        <v>1</v>
      </c>
      <c r="E45" s="388" t="str">
        <f>KWALIFICATIE!F24</f>
        <v>De Dinkies</v>
      </c>
      <c r="F45" s="388"/>
      <c r="G45" s="393"/>
      <c r="H45" s="393"/>
      <c r="I45" s="281" t="s">
        <v>16</v>
      </c>
      <c r="J45" s="389" t="str">
        <f>KWALIFICATIE!F20</f>
        <v>Pilsmaten</v>
      </c>
      <c r="K45" s="389"/>
      <c r="L45" s="393"/>
      <c r="M45" s="393"/>
      <c r="O45" s="390">
        <v>3</v>
      </c>
      <c r="P45" s="391" t="s">
        <v>16</v>
      </c>
      <c r="Q45" s="392">
        <v>0</v>
      </c>
      <c r="S45" s="281">
        <v>1</v>
      </c>
      <c r="T45" s="388" t="str">
        <f>KWALIFICATIE!M23</f>
        <v>KFC zaterdag VR 35+</v>
      </c>
      <c r="U45" s="388"/>
      <c r="V45" s="393"/>
      <c r="W45" s="393"/>
      <c r="X45" s="281" t="s">
        <v>16</v>
      </c>
      <c r="Y45" s="389" t="str">
        <f>KWALIFICATIE!M21</f>
        <v>About to get Messi</v>
      </c>
      <c r="Z45" s="389"/>
      <c r="AA45" s="393"/>
      <c r="AB45" s="393"/>
      <c r="AD45" s="390" t="s">
        <v>17</v>
      </c>
      <c r="AE45" s="391" t="s">
        <v>16</v>
      </c>
      <c r="AF45" s="392" t="s">
        <v>17</v>
      </c>
      <c r="AG45" s="5">
        <v>4</v>
      </c>
      <c r="AI45" s="14" t="s">
        <v>16</v>
      </c>
      <c r="AN45" s="3"/>
      <c r="AO45" s="5">
        <v>4</v>
      </c>
      <c r="AQ45" s="335" t="s">
        <v>16</v>
      </c>
      <c r="AX45" s="479"/>
      <c r="AY45" s="479"/>
      <c r="AZ45" s="334"/>
      <c r="BA45" s="479"/>
      <c r="BB45" s="479"/>
      <c r="BC45" s="118"/>
      <c r="BD45" s="334"/>
      <c r="BE45" s="334"/>
      <c r="BF45" s="334"/>
      <c r="BS45" s="179"/>
      <c r="BT45" s="175"/>
    </row>
    <row r="46" spans="1:72" ht="13.5" customHeight="1" x14ac:dyDescent="0.2">
      <c r="A46" s="481"/>
      <c r="B46" s="202"/>
      <c r="C46" s="202"/>
      <c r="D46" s="281">
        <v>2</v>
      </c>
      <c r="E46" s="389" t="str">
        <f>KWALIFICATIE!F22</f>
        <v>TEC-BTV</v>
      </c>
      <c r="F46" s="388"/>
      <c r="G46" s="393"/>
      <c r="H46" s="393"/>
      <c r="I46" s="281" t="s">
        <v>16</v>
      </c>
      <c r="J46" s="388" t="str">
        <f>KWALIFICATIE!F21</f>
        <v>Geuzenmiddenmeer</v>
      </c>
      <c r="K46" s="389"/>
      <c r="L46" s="393"/>
      <c r="M46" s="393"/>
      <c r="O46" s="390">
        <v>2</v>
      </c>
      <c r="P46" s="391" t="s">
        <v>16</v>
      </c>
      <c r="Q46" s="392">
        <v>0</v>
      </c>
      <c r="S46" s="281">
        <v>2</v>
      </c>
      <c r="T46" s="389" t="str">
        <f>KWALIFICATIE!M24</f>
        <v>Fortius 1 dames 35+</v>
      </c>
      <c r="U46" s="388"/>
      <c r="V46" s="393"/>
      <c r="W46" s="393"/>
      <c r="X46" s="281" t="s">
        <v>16</v>
      </c>
      <c r="Y46" s="388" t="str">
        <f>KWALIFICATIE!M22</f>
        <v>AMVJ</v>
      </c>
      <c r="Z46" s="389"/>
      <c r="AA46" s="393"/>
      <c r="AB46" s="393"/>
      <c r="AD46" s="390" t="s">
        <v>17</v>
      </c>
      <c r="AE46" s="391" t="s">
        <v>16</v>
      </c>
      <c r="AF46" s="392" t="s">
        <v>17</v>
      </c>
      <c r="AG46" s="5">
        <v>5</v>
      </c>
      <c r="AI46" s="14" t="s">
        <v>16</v>
      </c>
      <c r="AN46" s="3"/>
      <c r="AO46" s="5">
        <v>5</v>
      </c>
      <c r="AQ46" s="335" t="s">
        <v>16</v>
      </c>
      <c r="AX46" s="324"/>
      <c r="AY46" s="324"/>
      <c r="AZ46" s="334"/>
      <c r="BA46" s="468"/>
      <c r="BB46" s="468"/>
      <c r="BD46" s="334"/>
      <c r="BE46" s="334"/>
      <c r="BF46" s="334"/>
      <c r="BS46" s="179"/>
      <c r="BT46" s="175"/>
    </row>
    <row r="47" spans="1:72" ht="13.5" customHeight="1" x14ac:dyDescent="0.2">
      <c r="A47" s="481"/>
      <c r="B47" s="202"/>
      <c r="C47" s="202"/>
      <c r="D47" s="281">
        <v>3</v>
      </c>
      <c r="E47" s="388" t="str">
        <f>KWALIFICATIE!L16</f>
        <v>Team Bublé</v>
      </c>
      <c r="F47" s="388"/>
      <c r="I47" s="281" t="s">
        <v>16</v>
      </c>
      <c r="J47" s="388" t="str">
        <f>KWALIFICATIE!L12</f>
        <v>Scherp Online</v>
      </c>
      <c r="K47" s="389"/>
      <c r="O47" s="390">
        <v>3</v>
      </c>
      <c r="P47" s="391" t="s">
        <v>16</v>
      </c>
      <c r="Q47" s="392">
        <v>5</v>
      </c>
      <c r="S47" s="281">
        <v>3</v>
      </c>
      <c r="T47" s="388" t="str">
        <f>KWALIFICATIE!Z15</f>
        <v>Wart6</v>
      </c>
      <c r="U47" s="388"/>
      <c r="V47" s="393"/>
      <c r="W47" s="393"/>
      <c r="X47" s="281" t="s">
        <v>16</v>
      </c>
      <c r="Y47" s="389" t="str">
        <f>KWALIFICATIE!Z13</f>
        <v>Kampongveldert</v>
      </c>
      <c r="Z47" s="389"/>
      <c r="AD47" s="390">
        <v>1</v>
      </c>
      <c r="AE47" s="391" t="s">
        <v>16</v>
      </c>
      <c r="AF47" s="392">
        <v>1</v>
      </c>
      <c r="AG47" s="5">
        <v>6</v>
      </c>
      <c r="AI47" s="14" t="s">
        <v>16</v>
      </c>
      <c r="AN47" s="3"/>
      <c r="AO47" s="5">
        <v>6</v>
      </c>
      <c r="AQ47" s="335" t="s">
        <v>16</v>
      </c>
      <c r="AX47" s="324"/>
      <c r="BE47" s="334"/>
      <c r="BF47" s="334"/>
      <c r="BS47" s="179"/>
      <c r="BT47" s="175"/>
    </row>
    <row r="48" spans="1:72" ht="13.5" customHeight="1" x14ac:dyDescent="0.2">
      <c r="A48" s="481"/>
      <c r="B48" s="202"/>
      <c r="C48" s="202"/>
      <c r="D48" s="281">
        <v>4</v>
      </c>
      <c r="E48" s="388" t="str">
        <f>KWALIFICATIE!L14</f>
        <v>#illuminaticonfirmed</v>
      </c>
      <c r="F48" s="388"/>
      <c r="I48" s="281" t="s">
        <v>16</v>
      </c>
      <c r="J48" s="389" t="str">
        <f>KWALIFICATIE!L13</f>
        <v>Sammi's Sweathearts</v>
      </c>
      <c r="K48" s="389"/>
      <c r="O48" s="390">
        <v>0</v>
      </c>
      <c r="P48" s="391" t="s">
        <v>16</v>
      </c>
      <c r="Q48" s="392">
        <v>1</v>
      </c>
      <c r="S48" s="281"/>
      <c r="T48" s="389"/>
      <c r="U48" s="388"/>
      <c r="V48" s="393"/>
      <c r="W48" s="393"/>
      <c r="X48" s="281"/>
      <c r="Y48" s="388"/>
      <c r="Z48" s="389"/>
      <c r="AD48" s="390"/>
      <c r="AE48" s="391"/>
      <c r="AF48" s="392"/>
      <c r="AG48" s="5"/>
      <c r="AN48" s="3"/>
      <c r="AX48" s="324"/>
      <c r="BE48" s="334"/>
      <c r="BF48" s="334"/>
      <c r="BL48" s="212"/>
      <c r="BS48" s="179"/>
      <c r="BT48" s="175"/>
    </row>
    <row r="49" spans="1:72" ht="13.5" customHeight="1" x14ac:dyDescent="0.2">
      <c r="A49" s="481"/>
      <c r="B49" s="202"/>
      <c r="C49" s="202"/>
      <c r="D49" s="281">
        <v>5</v>
      </c>
      <c r="E49" s="388" t="str">
        <f>KWALIFICATIE!S16</f>
        <v>Sporting Almere</v>
      </c>
      <c r="F49" s="388"/>
      <c r="I49" s="281" t="s">
        <v>16</v>
      </c>
      <c r="J49" s="389" t="str">
        <f>KWALIFICATIE!S12</f>
        <v>Correctie veld 4</v>
      </c>
      <c r="K49" s="389"/>
      <c r="O49" s="390">
        <v>6</v>
      </c>
      <c r="P49" s="391" t="s">
        <v>16</v>
      </c>
      <c r="Q49" s="392">
        <v>3</v>
      </c>
      <c r="S49" s="281"/>
      <c r="T49" s="388"/>
      <c r="U49" s="388"/>
      <c r="X49" s="281"/>
      <c r="Y49" s="389"/>
      <c r="Z49" s="389"/>
      <c r="AD49" s="390"/>
      <c r="AE49" s="391"/>
      <c r="AF49" s="392"/>
      <c r="AG49" s="170" t="str">
        <f>START!B19</f>
        <v>14:45 - 15.00 uur</v>
      </c>
      <c r="AH49" s="163"/>
      <c r="AI49" s="161"/>
      <c r="AJ49" s="160"/>
      <c r="AK49" s="161"/>
      <c r="AL49" s="161"/>
      <c r="AM49" s="274" t="s">
        <v>83</v>
      </c>
      <c r="AN49" s="3"/>
      <c r="AX49" s="324"/>
      <c r="BE49" s="334"/>
      <c r="BF49" s="334"/>
      <c r="BL49" s="212"/>
      <c r="BS49" s="179"/>
      <c r="BT49" s="175"/>
    </row>
    <row r="50" spans="1:72" ht="13.5" customHeight="1" x14ac:dyDescent="0.2">
      <c r="A50" s="481"/>
      <c r="B50" s="202"/>
      <c r="C50" s="202"/>
      <c r="D50" s="281">
        <v>6</v>
      </c>
      <c r="E50" s="389" t="str">
        <f>KWALIFICATIE!S14</f>
        <v>Patti don't shout @ me</v>
      </c>
      <c r="F50" s="388"/>
      <c r="I50" s="281" t="s">
        <v>16</v>
      </c>
      <c r="J50" s="388" t="str">
        <f>KWALIFICATIE!S13</f>
        <v>Combiwel</v>
      </c>
      <c r="K50" s="389"/>
      <c r="O50" s="390">
        <v>0</v>
      </c>
      <c r="P50" s="391" t="s">
        <v>16</v>
      </c>
      <c r="Q50" s="392">
        <v>2</v>
      </c>
      <c r="R50" s="202"/>
      <c r="T50" s="389"/>
      <c r="U50" s="388"/>
      <c r="X50" s="281"/>
      <c r="Y50" s="388"/>
      <c r="Z50" s="389"/>
      <c r="AD50" s="390"/>
      <c r="AE50" s="391"/>
      <c r="AF50" s="392"/>
      <c r="AG50" s="5">
        <v>1</v>
      </c>
      <c r="AI50" s="5" t="s">
        <v>16</v>
      </c>
      <c r="AN50" s="8"/>
      <c r="AX50" s="324"/>
      <c r="BE50" s="334"/>
      <c r="BF50" s="334"/>
    </row>
    <row r="51" spans="1:72" ht="13.5" customHeight="1" x14ac:dyDescent="0.2">
      <c r="A51" s="481"/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T51" s="389"/>
      <c r="U51" s="388"/>
      <c r="X51" s="281"/>
      <c r="Y51" s="388"/>
      <c r="Z51" s="389"/>
      <c r="AD51" s="390"/>
      <c r="AE51" s="391"/>
      <c r="AF51" s="392"/>
      <c r="AG51" s="5">
        <v>2</v>
      </c>
      <c r="AI51" s="5" t="s">
        <v>16</v>
      </c>
      <c r="AN51" s="118"/>
      <c r="BL51" s="212"/>
      <c r="BS51" s="179"/>
      <c r="BT51" s="175"/>
    </row>
    <row r="52" spans="1:72" ht="13.5" customHeight="1" x14ac:dyDescent="0.2">
      <c r="A52" s="481"/>
      <c r="B52" s="202"/>
      <c r="C52" s="202"/>
      <c r="D52" s="370" t="str">
        <f>START!B16</f>
        <v>14:00 - 14:15 uur</v>
      </c>
      <c r="E52" s="376"/>
      <c r="F52" s="376"/>
      <c r="G52" s="376"/>
      <c r="H52" s="376"/>
      <c r="I52" s="376"/>
      <c r="J52" s="376"/>
      <c r="K52" s="376"/>
      <c r="L52" s="376"/>
      <c r="M52" s="376"/>
      <c r="N52" s="376"/>
      <c r="O52" s="376"/>
      <c r="P52" s="376"/>
      <c r="Q52" s="369" t="s">
        <v>75</v>
      </c>
      <c r="T52" s="389"/>
      <c r="U52" s="388"/>
      <c r="X52" s="281"/>
      <c r="Y52" s="388"/>
      <c r="Z52" s="389"/>
      <c r="AD52" s="390"/>
      <c r="AE52" s="391"/>
      <c r="AF52" s="392"/>
      <c r="AG52" s="5">
        <v>3</v>
      </c>
      <c r="AI52" s="14" t="s">
        <v>16</v>
      </c>
      <c r="AN52" s="3"/>
      <c r="AX52" s="469"/>
      <c r="AY52" s="469"/>
      <c r="AZ52" s="334"/>
      <c r="BA52" s="469"/>
      <c r="BB52" s="469"/>
      <c r="BD52" s="334"/>
      <c r="BE52" s="334"/>
      <c r="BF52" s="334"/>
      <c r="BL52" s="212"/>
      <c r="BS52" s="179"/>
      <c r="BT52" s="175"/>
    </row>
    <row r="53" spans="1:72" ht="13.5" customHeight="1" x14ac:dyDescent="0.2">
      <c r="A53" s="481"/>
      <c r="B53" s="202"/>
      <c r="C53" s="202"/>
      <c r="D53" s="281">
        <v>1</v>
      </c>
      <c r="E53" s="388" t="str">
        <f>KWALIFICATIE!M24</f>
        <v>Fortius 1 dames 35+</v>
      </c>
      <c r="F53" s="388"/>
      <c r="G53" s="393"/>
      <c r="H53" s="393"/>
      <c r="I53" s="281" t="s">
        <v>16</v>
      </c>
      <c r="J53" s="389" t="str">
        <f>KWALIFICATIE!M20</f>
        <v>De Westfriesies</v>
      </c>
      <c r="K53" s="389"/>
      <c r="L53" s="393"/>
      <c r="M53" s="393"/>
      <c r="O53" s="390">
        <v>0</v>
      </c>
      <c r="P53" s="391" t="s">
        <v>16</v>
      </c>
      <c r="Q53" s="392">
        <v>3</v>
      </c>
      <c r="T53" s="389"/>
      <c r="U53" s="388"/>
      <c r="X53" s="281"/>
      <c r="Y53" s="388"/>
      <c r="Z53" s="389"/>
      <c r="AD53" s="390"/>
      <c r="AE53" s="391"/>
      <c r="AF53" s="392"/>
      <c r="AG53" s="5">
        <v>4</v>
      </c>
      <c r="AI53" s="14" t="s">
        <v>16</v>
      </c>
      <c r="AN53" s="3"/>
      <c r="AX53" s="469"/>
      <c r="AY53" s="469"/>
      <c r="AZ53" s="334"/>
      <c r="BA53" s="326"/>
      <c r="BB53" s="326"/>
      <c r="BD53" s="334"/>
      <c r="BE53" s="334"/>
      <c r="BF53" s="334"/>
      <c r="BL53" s="212"/>
      <c r="BS53" s="179"/>
      <c r="BT53" s="175"/>
    </row>
    <row r="54" spans="1:72" ht="13.5" customHeight="1" x14ac:dyDescent="0.2">
      <c r="A54" s="481"/>
      <c r="B54" s="202"/>
      <c r="C54" s="202"/>
      <c r="D54" s="281">
        <v>2</v>
      </c>
      <c r="E54" s="389" t="str">
        <f>KWALIFICATIE!M22</f>
        <v>AMVJ</v>
      </c>
      <c r="F54" s="388"/>
      <c r="G54" s="393"/>
      <c r="H54" s="393"/>
      <c r="I54" s="281" t="s">
        <v>16</v>
      </c>
      <c r="J54" s="388" t="str">
        <f>KWALIFICATIE!M21</f>
        <v>About to get Messi</v>
      </c>
      <c r="K54" s="389"/>
      <c r="L54" s="393"/>
      <c r="M54" s="393"/>
      <c r="O54" s="390">
        <v>0</v>
      </c>
      <c r="P54" s="391" t="s">
        <v>16</v>
      </c>
      <c r="Q54" s="392">
        <v>2</v>
      </c>
      <c r="T54" s="389"/>
      <c r="U54" s="388"/>
      <c r="X54" s="281"/>
      <c r="Y54" s="388"/>
      <c r="Z54" s="389"/>
      <c r="AD54" s="390"/>
      <c r="AE54" s="391"/>
      <c r="AF54" s="392"/>
      <c r="AG54" s="5">
        <v>5</v>
      </c>
      <c r="AI54" s="14" t="s">
        <v>16</v>
      </c>
      <c r="AN54" s="3"/>
      <c r="AX54" s="469"/>
      <c r="AY54" s="469"/>
      <c r="AZ54" s="335"/>
      <c r="BA54" s="469"/>
      <c r="BB54" s="469"/>
      <c r="BD54" s="334"/>
      <c r="BE54" s="334"/>
      <c r="BF54" s="334"/>
      <c r="BL54" s="212"/>
      <c r="BS54" s="179"/>
      <c r="BT54" s="175"/>
    </row>
    <row r="55" spans="1:72" ht="13.5" customHeight="1" x14ac:dyDescent="0.2">
      <c r="A55" s="481"/>
      <c r="B55" s="202"/>
      <c r="C55" s="202"/>
      <c r="D55" s="281">
        <v>3</v>
      </c>
      <c r="E55" s="388"/>
      <c r="F55" s="388"/>
      <c r="I55" s="281"/>
      <c r="J55" s="388"/>
      <c r="K55" s="389"/>
      <c r="O55" s="390"/>
      <c r="P55" s="391"/>
      <c r="Q55" s="392"/>
      <c r="T55" s="389"/>
      <c r="U55" s="388"/>
      <c r="X55" s="281"/>
      <c r="Y55" s="388"/>
      <c r="Z55" s="389"/>
      <c r="AD55" s="390"/>
      <c r="AE55" s="391"/>
      <c r="AF55" s="392"/>
      <c r="AG55" s="5">
        <v>6</v>
      </c>
      <c r="AI55" s="14" t="s">
        <v>16</v>
      </c>
      <c r="AN55" s="3"/>
      <c r="AX55" s="469"/>
      <c r="AY55" s="469"/>
      <c r="AZ55" s="335"/>
      <c r="BA55" s="469"/>
      <c r="BB55" s="469"/>
      <c r="BD55" s="334"/>
      <c r="BE55" s="334"/>
      <c r="BF55" s="334"/>
      <c r="BL55" s="212"/>
      <c r="BS55" s="179"/>
      <c r="BT55" s="175"/>
    </row>
    <row r="56" spans="1:72" ht="13.5" customHeight="1" x14ac:dyDescent="0.2">
      <c r="A56" s="481"/>
      <c r="B56" s="202"/>
      <c r="C56" s="202"/>
      <c r="D56" s="281">
        <v>4</v>
      </c>
      <c r="E56" s="388" t="str">
        <f>KWALIFICATIE!Z14</f>
        <v>Orion</v>
      </c>
      <c r="F56" s="388"/>
      <c r="I56" s="281" t="s">
        <v>16</v>
      </c>
      <c r="J56" s="389" t="str">
        <f>KWALIFICATIE!Z13</f>
        <v>Kampongveldert</v>
      </c>
      <c r="K56" s="389"/>
      <c r="O56" s="390">
        <v>0</v>
      </c>
      <c r="P56" s="391" t="s">
        <v>16</v>
      </c>
      <c r="Q56" s="392">
        <v>1</v>
      </c>
      <c r="AN56" s="3"/>
      <c r="AX56" s="469"/>
      <c r="AY56" s="469"/>
      <c r="AZ56" s="335"/>
      <c r="BA56" s="469"/>
      <c r="BB56" s="469"/>
      <c r="BD56" s="334"/>
      <c r="BE56" s="334"/>
      <c r="BF56" s="334"/>
      <c r="BL56" s="212"/>
      <c r="BS56" s="179"/>
      <c r="BT56" s="175"/>
    </row>
    <row r="57" spans="1:72" ht="13.5" customHeight="1" x14ac:dyDescent="0.2">
      <c r="A57" s="481"/>
      <c r="B57" s="202"/>
      <c r="C57" s="202"/>
      <c r="D57" s="281">
        <v>5</v>
      </c>
      <c r="E57" s="388" t="str">
        <f>KWALIFICATIE!E8</f>
        <v xml:space="preserve">De Pintjes </v>
      </c>
      <c r="F57" s="388"/>
      <c r="I57" s="281" t="s">
        <v>16</v>
      </c>
      <c r="J57" s="389" t="str">
        <f>KWALIFICATIE!E6</f>
        <v>Asvv de Schollevers</v>
      </c>
      <c r="K57" s="389"/>
      <c r="O57" s="390">
        <v>0</v>
      </c>
      <c r="P57" s="391" t="s">
        <v>16</v>
      </c>
      <c r="Q57" s="392">
        <v>0</v>
      </c>
      <c r="AG57" s="491" t="s">
        <v>14</v>
      </c>
      <c r="AH57" s="491"/>
      <c r="AI57" s="332"/>
      <c r="AJ57" s="332"/>
      <c r="AK57" s="332"/>
      <c r="AL57" s="316"/>
      <c r="AM57" s="171" t="s">
        <v>15</v>
      </c>
      <c r="AN57" s="3"/>
      <c r="AX57" s="469"/>
      <c r="AY57" s="469"/>
      <c r="AZ57" s="335"/>
      <c r="BA57" s="469"/>
      <c r="BB57" s="469"/>
      <c r="BD57" s="334"/>
      <c r="BE57" s="334"/>
      <c r="BF57" s="334"/>
    </row>
    <row r="58" spans="1:72" ht="13.5" customHeight="1" x14ac:dyDescent="0.2">
      <c r="A58" s="481"/>
      <c r="B58" s="202"/>
      <c r="C58" s="202"/>
      <c r="D58" s="281">
        <v>6</v>
      </c>
      <c r="E58" s="389" t="str">
        <f>KWALIFICATIE!E9</f>
        <v>Het Bestuur</v>
      </c>
      <c r="F58" s="388"/>
      <c r="I58" s="281" t="s">
        <v>16</v>
      </c>
      <c r="J58" s="388" t="str">
        <f>KWALIFICATIE!E7</f>
        <v>AccentSport Rakkers</v>
      </c>
      <c r="K58" s="389"/>
      <c r="O58" s="390">
        <v>0</v>
      </c>
      <c r="P58" s="391" t="s">
        <v>16</v>
      </c>
      <c r="Q58" s="392">
        <v>0</v>
      </c>
      <c r="AG58" s="5">
        <v>1</v>
      </c>
      <c r="AI58" s="335" t="s">
        <v>16</v>
      </c>
      <c r="AN58" s="8"/>
      <c r="AX58" s="469"/>
      <c r="AY58" s="469"/>
      <c r="AZ58" s="335"/>
      <c r="BA58" s="469"/>
      <c r="BB58" s="469"/>
      <c r="BD58" s="334"/>
      <c r="BE58" s="334"/>
      <c r="BF58" s="334"/>
    </row>
    <row r="59" spans="1:72" ht="12" customHeight="1" x14ac:dyDescent="0.2">
      <c r="A59" s="481"/>
      <c r="B59" s="202"/>
      <c r="C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5">
        <v>2</v>
      </c>
      <c r="AI59" s="335" t="s">
        <v>16</v>
      </c>
      <c r="AN59" s="118"/>
    </row>
    <row r="60" spans="1:72" ht="12" customHeight="1" x14ac:dyDescent="0.2">
      <c r="A60" s="481"/>
      <c r="B60" s="202"/>
      <c r="C60" s="202"/>
      <c r="S60" s="431"/>
      <c r="T60" s="432"/>
      <c r="U60" s="432"/>
      <c r="V60" s="432"/>
      <c r="W60" s="432"/>
      <c r="X60" s="432"/>
      <c r="Y60" s="432"/>
      <c r="Z60" s="432"/>
      <c r="AA60" s="432"/>
      <c r="AB60" s="432"/>
      <c r="AC60" s="432"/>
      <c r="AD60" s="432"/>
      <c r="AE60" s="432"/>
      <c r="AF60" s="433"/>
      <c r="AG60" s="5">
        <v>3</v>
      </c>
      <c r="AI60" s="335" t="s">
        <v>16</v>
      </c>
      <c r="AN60" s="3"/>
    </row>
    <row r="61" spans="1:72" ht="12" customHeight="1" x14ac:dyDescent="0.2">
      <c r="A61" s="481"/>
      <c r="B61" s="202"/>
      <c r="C61" s="202"/>
      <c r="S61" s="426"/>
      <c r="T61" s="414"/>
      <c r="U61" s="414"/>
      <c r="V61" s="251"/>
      <c r="W61" s="251"/>
      <c r="X61" s="426"/>
      <c r="Y61" s="427"/>
      <c r="Z61" s="427"/>
      <c r="AA61" s="251"/>
      <c r="AB61" s="251"/>
      <c r="AC61" s="202"/>
      <c r="AD61" s="428"/>
      <c r="AE61" s="429"/>
      <c r="AF61" s="430"/>
      <c r="AG61" s="5">
        <v>4</v>
      </c>
      <c r="AI61" s="335" t="s">
        <v>16</v>
      </c>
      <c r="AN61" s="3"/>
    </row>
    <row r="62" spans="1:72" ht="12" customHeight="1" x14ac:dyDescent="0.2">
      <c r="A62" s="481"/>
      <c r="B62" s="202"/>
      <c r="C62" s="202"/>
      <c r="S62" s="426"/>
      <c r="T62" s="427"/>
      <c r="U62" s="414"/>
      <c r="V62" s="251"/>
      <c r="W62" s="251"/>
      <c r="X62" s="426"/>
      <c r="Y62" s="414"/>
      <c r="Z62" s="427"/>
      <c r="AA62" s="251"/>
      <c r="AB62" s="251"/>
      <c r="AC62" s="202"/>
      <c r="AD62" s="428"/>
      <c r="AE62" s="429"/>
      <c r="AF62" s="430"/>
      <c r="AG62" s="5">
        <v>5</v>
      </c>
      <c r="AI62" s="334" t="s">
        <v>16</v>
      </c>
      <c r="AN62" s="3"/>
    </row>
    <row r="63" spans="1:72" ht="12" customHeight="1" x14ac:dyDescent="0.2">
      <c r="A63" s="481"/>
      <c r="B63" s="202"/>
      <c r="C63" s="202"/>
      <c r="S63" s="426"/>
      <c r="T63" s="414"/>
      <c r="U63" s="414"/>
      <c r="V63" s="202"/>
      <c r="W63" s="202"/>
      <c r="X63" s="426"/>
      <c r="Y63" s="414"/>
      <c r="Z63" s="427"/>
      <c r="AA63" s="202"/>
      <c r="AB63" s="202"/>
      <c r="AC63" s="202"/>
      <c r="AD63" s="428"/>
      <c r="AE63" s="429"/>
      <c r="AF63" s="430"/>
      <c r="AG63" s="5">
        <v>6</v>
      </c>
      <c r="AI63" s="334" t="s">
        <v>16</v>
      </c>
      <c r="AN63" s="3"/>
    </row>
    <row r="64" spans="1:72" ht="12" customHeight="1" x14ac:dyDescent="0.2">
      <c r="A64" s="481"/>
      <c r="B64" s="202"/>
      <c r="C64" s="202"/>
      <c r="S64" s="426"/>
      <c r="T64" s="414"/>
      <c r="U64" s="414"/>
      <c r="V64" s="202"/>
      <c r="W64" s="202"/>
      <c r="X64" s="426"/>
      <c r="Y64" s="427"/>
      <c r="Z64" s="427"/>
      <c r="AA64" s="202"/>
      <c r="AB64" s="202"/>
      <c r="AC64" s="202"/>
      <c r="AD64" s="428"/>
      <c r="AE64" s="429"/>
      <c r="AF64" s="430"/>
      <c r="AG64" s="312"/>
      <c r="AH64" s="1"/>
      <c r="AI64" s="1"/>
      <c r="AJ64" s="1"/>
      <c r="AK64" s="1"/>
      <c r="AL64" s="1"/>
      <c r="AM64" s="1"/>
      <c r="AN64" s="3"/>
    </row>
    <row r="65" spans="1:50" ht="12" customHeight="1" x14ac:dyDescent="0.2">
      <c r="A65" s="481"/>
      <c r="B65" s="202"/>
      <c r="C65" s="202"/>
      <c r="S65" s="426"/>
      <c r="T65" s="414"/>
      <c r="U65" s="414"/>
      <c r="V65" s="202"/>
      <c r="W65" s="202"/>
      <c r="X65" s="426"/>
      <c r="Y65" s="427"/>
      <c r="Z65" s="427"/>
      <c r="AA65" s="202"/>
      <c r="AB65" s="202"/>
      <c r="AC65" s="202"/>
      <c r="AD65" s="428"/>
      <c r="AE65" s="429"/>
      <c r="AF65" s="430"/>
      <c r="AG65" s="207" t="str">
        <f>START!B21</f>
        <v>15:20 - 15:40 uur</v>
      </c>
      <c r="AH65" s="208"/>
      <c r="AI65" s="209"/>
      <c r="AJ65" s="210"/>
      <c r="AK65" s="209"/>
      <c r="AL65" s="209"/>
      <c r="AM65" s="273" t="s">
        <v>60</v>
      </c>
      <c r="AN65" s="3"/>
    </row>
    <row r="66" spans="1:50" ht="12" hidden="1" customHeight="1" x14ac:dyDescent="0.2">
      <c r="A66" s="481"/>
      <c r="C66" s="202"/>
      <c r="R66" s="202"/>
      <c r="S66" s="426"/>
      <c r="T66" s="427"/>
      <c r="U66" s="414"/>
      <c r="V66" s="202"/>
      <c r="W66" s="202"/>
      <c r="X66" s="426"/>
      <c r="Y66" s="414"/>
      <c r="Z66" s="427"/>
      <c r="AA66" s="202"/>
      <c r="AB66" s="202"/>
      <c r="AC66" s="202"/>
      <c r="AD66" s="428"/>
      <c r="AE66" s="429"/>
      <c r="AF66" s="430"/>
      <c r="AG66" s="5">
        <v>1</v>
      </c>
      <c r="AI66" s="335" t="s">
        <v>16</v>
      </c>
      <c r="AN66" s="3"/>
      <c r="AO66" s="5"/>
      <c r="AX66" s="334"/>
    </row>
    <row r="67" spans="1:50" ht="20.25" x14ac:dyDescent="0.3">
      <c r="A67" s="481"/>
      <c r="D67" s="434" t="s">
        <v>267</v>
      </c>
      <c r="R67" s="202"/>
      <c r="T67" s="434" t="s">
        <v>55</v>
      </c>
      <c r="AG67" s="5">
        <v>2</v>
      </c>
      <c r="AI67" s="335" t="s">
        <v>16</v>
      </c>
      <c r="AN67" s="15"/>
      <c r="AO67" s="5"/>
    </row>
    <row r="68" spans="1:50" ht="51" customHeight="1" x14ac:dyDescent="0.2">
      <c r="A68" s="481"/>
      <c r="D68" s="483" t="s">
        <v>427</v>
      </c>
      <c r="E68" s="484"/>
      <c r="F68" s="484"/>
      <c r="G68" s="484"/>
      <c r="H68" s="484"/>
      <c r="I68" s="484"/>
      <c r="J68" s="484"/>
      <c r="K68" s="484"/>
      <c r="L68" s="484"/>
      <c r="M68" s="484"/>
      <c r="N68" s="484"/>
      <c r="O68" s="484"/>
      <c r="P68" s="484"/>
      <c r="Q68" s="484"/>
      <c r="T68" s="487" t="s">
        <v>429</v>
      </c>
      <c r="U68" s="487"/>
      <c r="V68" s="487"/>
      <c r="W68" s="487"/>
      <c r="X68" s="487"/>
      <c r="Y68" s="487"/>
      <c r="Z68" s="487"/>
      <c r="AA68" s="487"/>
      <c r="AB68" s="487"/>
      <c r="AC68" s="487"/>
      <c r="AD68" s="487"/>
      <c r="AE68" s="487"/>
      <c r="AF68" s="435"/>
      <c r="AG68" s="435">
        <v>3</v>
      </c>
      <c r="AI68" s="335" t="s">
        <v>16</v>
      </c>
      <c r="AN68" s="3"/>
      <c r="AO68" s="285"/>
      <c r="AP68" s="3"/>
      <c r="AQ68" s="335"/>
      <c r="AR68" s="8"/>
      <c r="AS68" s="176"/>
      <c r="AT68" s="177"/>
      <c r="AU68" s="178"/>
      <c r="AX68" s="242"/>
    </row>
    <row r="69" spans="1:50" ht="12" hidden="1" customHeight="1" x14ac:dyDescent="0.2">
      <c r="A69" s="481"/>
      <c r="AG69" s="5">
        <v>4</v>
      </c>
      <c r="AI69" s="335" t="s">
        <v>16</v>
      </c>
      <c r="AN69" s="3"/>
      <c r="AO69" s="285"/>
      <c r="AP69" s="323"/>
      <c r="AQ69" s="335"/>
      <c r="AR69" s="326"/>
      <c r="AS69" s="176"/>
      <c r="AT69" s="177"/>
      <c r="AU69" s="178"/>
      <c r="AX69" s="242"/>
    </row>
    <row r="70" spans="1:50" ht="66.75" customHeight="1" x14ac:dyDescent="0.2">
      <c r="A70" s="481"/>
      <c r="D70" s="485" t="s">
        <v>428</v>
      </c>
      <c r="E70" s="486"/>
      <c r="F70" s="486"/>
      <c r="G70" s="486"/>
      <c r="H70" s="486"/>
      <c r="I70" s="486"/>
      <c r="J70" s="486"/>
      <c r="K70" s="486"/>
      <c r="L70" s="486"/>
      <c r="M70" s="486"/>
      <c r="N70" s="486"/>
      <c r="O70" s="486"/>
      <c r="P70" s="486"/>
      <c r="Q70" s="486"/>
      <c r="AG70" s="5">
        <v>5</v>
      </c>
      <c r="AI70" s="335" t="s">
        <v>16</v>
      </c>
      <c r="AN70" s="3"/>
      <c r="AO70" s="285"/>
      <c r="AP70" s="286"/>
      <c r="AQ70" s="334"/>
      <c r="AR70" s="333"/>
      <c r="AS70" s="176"/>
      <c r="AT70" s="177"/>
      <c r="AU70" s="178"/>
      <c r="AX70" s="242"/>
    </row>
    <row r="71" spans="1:50" ht="12" customHeight="1" x14ac:dyDescent="0.2">
      <c r="A71" s="481"/>
      <c r="AG71" s="5">
        <v>6</v>
      </c>
      <c r="AI71" s="335" t="s">
        <v>16</v>
      </c>
      <c r="AN71" s="3"/>
      <c r="AO71" s="285"/>
      <c r="AP71" s="287"/>
      <c r="AQ71" s="334"/>
      <c r="AR71" s="282"/>
      <c r="AS71" s="176"/>
      <c r="AT71" s="177"/>
      <c r="AU71" s="178"/>
      <c r="AX71" s="242"/>
    </row>
    <row r="72" spans="1:50" ht="12.75" customHeight="1" x14ac:dyDescent="0.2">
      <c r="A72" s="481"/>
      <c r="AN72" s="3"/>
      <c r="AO72" s="285"/>
      <c r="AP72" s="287"/>
      <c r="AQ72" s="334"/>
      <c r="AR72" s="282"/>
      <c r="AS72" s="176"/>
      <c r="AT72" s="177"/>
      <c r="AU72" s="178"/>
      <c r="AX72" s="242"/>
    </row>
    <row r="73" spans="1:50" ht="12.75" customHeight="1" thickBot="1" x14ac:dyDescent="0.25">
      <c r="A73" s="482"/>
      <c r="AN73" s="3"/>
      <c r="AO73" s="285"/>
      <c r="AP73" s="286"/>
      <c r="AQ73" s="334"/>
      <c r="AR73" s="333"/>
      <c r="AS73" s="176"/>
      <c r="AT73" s="177"/>
      <c r="AU73" s="178"/>
      <c r="AX73" s="242"/>
    </row>
    <row r="74" spans="1:50" x14ac:dyDescent="0.2">
      <c r="R74" s="202"/>
      <c r="S74" s="426"/>
      <c r="T74" s="427"/>
      <c r="U74" s="414"/>
      <c r="V74" s="202"/>
      <c r="W74" s="202"/>
      <c r="X74" s="426"/>
      <c r="Y74" s="414"/>
      <c r="Z74" s="427"/>
      <c r="AA74" s="202"/>
      <c r="AB74" s="202"/>
      <c r="AC74" s="202"/>
      <c r="AD74" s="428"/>
      <c r="AE74" s="429"/>
      <c r="AF74" s="430"/>
      <c r="AJ74" s="135"/>
    </row>
    <row r="75" spans="1:50" x14ac:dyDescent="0.2">
      <c r="T75" s="389"/>
      <c r="U75" s="388"/>
      <c r="X75" s="281"/>
      <c r="Y75" s="377"/>
      <c r="Z75" s="389"/>
    </row>
  </sheetData>
  <mergeCells count="90">
    <mergeCell ref="D68:Q68"/>
    <mergeCell ref="D70:Q70"/>
    <mergeCell ref="T68:AE68"/>
    <mergeCell ref="AG5:AL5"/>
    <mergeCell ref="AR7:AS7"/>
    <mergeCell ref="AO5:AS5"/>
    <mergeCell ref="AG57:AH57"/>
    <mergeCell ref="AG19:AH19"/>
    <mergeCell ref="D10:H10"/>
    <mergeCell ref="D11:H11"/>
    <mergeCell ref="D14:H14"/>
    <mergeCell ref="D13:H13"/>
    <mergeCell ref="D15:H15"/>
    <mergeCell ref="D16:H16"/>
    <mergeCell ref="D17:H17"/>
    <mergeCell ref="P17:T17"/>
    <mergeCell ref="AW8:AX8"/>
    <mergeCell ref="AW9:AX9"/>
    <mergeCell ref="A7:A73"/>
    <mergeCell ref="AV7:AV17"/>
    <mergeCell ref="AG7:AH7"/>
    <mergeCell ref="AJ7:AL7"/>
    <mergeCell ref="AO7:AP7"/>
    <mergeCell ref="AG13:AH13"/>
    <mergeCell ref="V8:Z8"/>
    <mergeCell ref="V9:Z9"/>
    <mergeCell ref="AJ13:AL13"/>
    <mergeCell ref="AJ19:AL19"/>
    <mergeCell ref="P10:T10"/>
    <mergeCell ref="P11:T11"/>
    <mergeCell ref="J7:N7"/>
    <mergeCell ref="D7:H7"/>
    <mergeCell ref="BA57:BB57"/>
    <mergeCell ref="BA58:BB58"/>
    <mergeCell ref="AX57:AY57"/>
    <mergeCell ref="BA52:BB52"/>
    <mergeCell ref="BA56:BB56"/>
    <mergeCell ref="BA55:BB55"/>
    <mergeCell ref="AX55:AY55"/>
    <mergeCell ref="BA54:BB54"/>
    <mergeCell ref="AX52:AY52"/>
    <mergeCell ref="AX58:AY58"/>
    <mergeCell ref="AX53:AY53"/>
    <mergeCell ref="AX54:AY54"/>
    <mergeCell ref="AX56:AY56"/>
    <mergeCell ref="BF12:BF16"/>
    <mergeCell ref="AR13:AS13"/>
    <mergeCell ref="AO13:AP13"/>
    <mergeCell ref="BA45:BB45"/>
    <mergeCell ref="AX45:AY45"/>
    <mergeCell ref="BA46:BB46"/>
    <mergeCell ref="BB18:BD18"/>
    <mergeCell ref="AO19:AP19"/>
    <mergeCell ref="J14:N14"/>
    <mergeCell ref="P14:T14"/>
    <mergeCell ref="V14:Z14"/>
    <mergeCell ref="AB14:AF14"/>
    <mergeCell ref="J15:N15"/>
    <mergeCell ref="P15:T15"/>
    <mergeCell ref="V15:Z15"/>
    <mergeCell ref="AB15:AF15"/>
    <mergeCell ref="J16:N16"/>
    <mergeCell ref="P16:T16"/>
    <mergeCell ref="V16:Z16"/>
    <mergeCell ref="AB16:AF16"/>
    <mergeCell ref="J17:N17"/>
    <mergeCell ref="V17:Z17"/>
    <mergeCell ref="AB17:AF17"/>
    <mergeCell ref="V13:Z13"/>
    <mergeCell ref="AB13:AF13"/>
    <mergeCell ref="D2:AF2"/>
    <mergeCell ref="V10:Z10"/>
    <mergeCell ref="V11:Z11"/>
    <mergeCell ref="AB8:AF8"/>
    <mergeCell ref="AB9:AF9"/>
    <mergeCell ref="AB10:AF10"/>
    <mergeCell ref="AB11:AF11"/>
    <mergeCell ref="AB7:AF7"/>
    <mergeCell ref="V7:Z7"/>
    <mergeCell ref="P7:T7"/>
    <mergeCell ref="J8:N8"/>
    <mergeCell ref="J9:N9"/>
    <mergeCell ref="J13:N13"/>
    <mergeCell ref="P13:T13"/>
    <mergeCell ref="D8:H8"/>
    <mergeCell ref="D9:H9"/>
    <mergeCell ref="J10:N10"/>
    <mergeCell ref="J11:N11"/>
    <mergeCell ref="P8:T8"/>
    <mergeCell ref="P9:T9"/>
  </mergeCells>
  <phoneticPr fontId="0" type="noConversion"/>
  <pageMargins left="0.64" right="0.35433070866141736" top="0.3" bottom="0.11" header="0.12" footer="0"/>
  <pageSetup paperSize="9" scale="94" orientation="portrait" r:id="rId1"/>
  <headerFooter alignWithMargins="0"/>
  <colBreaks count="1" manualBreakCount="1">
    <brk id="32" min="1" max="7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7"/>
  <sheetViews>
    <sheetView view="pageBreakPreview" zoomScale="115" zoomScaleNormal="100" zoomScaleSheetLayoutView="115" workbookViewId="0">
      <selection activeCell="J315" sqref="J315"/>
    </sheetView>
  </sheetViews>
  <sheetFormatPr defaultColWidth="10.28515625" defaultRowHeight="15.75" x14ac:dyDescent="0.25"/>
  <cols>
    <col min="1" max="1" width="2.42578125" style="89" customWidth="1"/>
    <col min="2" max="2" width="17" style="89" customWidth="1"/>
    <col min="3" max="3" width="5.85546875" style="89" customWidth="1"/>
    <col min="4" max="4" width="9.28515625" style="89" customWidth="1"/>
    <col min="5" max="5" width="2.5703125" style="89" customWidth="1"/>
    <col min="6" max="6" width="13.85546875" style="89" customWidth="1"/>
    <col min="7" max="7" width="3" style="89" customWidth="1"/>
    <col min="8" max="8" width="4.7109375" style="89" customWidth="1"/>
    <col min="9" max="9" width="2.42578125" style="89" customWidth="1"/>
    <col min="10" max="10" width="17" style="89" customWidth="1"/>
    <col min="11" max="11" width="5.85546875" style="89" customWidth="1"/>
    <col min="12" max="12" width="9.28515625" style="89" customWidth="1"/>
    <col min="13" max="13" width="2.5703125" style="89" customWidth="1"/>
    <col min="14" max="14" width="13.85546875" style="89" customWidth="1"/>
    <col min="15" max="15" width="3" style="89" customWidth="1"/>
    <col min="16" max="16384" width="10.28515625" style="89"/>
  </cols>
  <sheetData>
    <row r="1" spans="1:15" ht="16.5" thickBot="1" x14ac:dyDescent="0.3">
      <c r="A1" s="86"/>
      <c r="B1" s="87"/>
      <c r="C1" s="87"/>
      <c r="D1" s="87"/>
      <c r="E1" s="87"/>
      <c r="F1" s="87"/>
      <c r="G1" s="88"/>
      <c r="I1" s="86"/>
      <c r="J1" s="87"/>
      <c r="K1" s="87"/>
      <c r="L1" s="87"/>
      <c r="M1" s="87"/>
      <c r="N1" s="87"/>
      <c r="O1" s="88"/>
    </row>
    <row r="2" spans="1:15" ht="20.25" customHeight="1" thickBot="1" x14ac:dyDescent="0.3">
      <c r="A2" s="90"/>
      <c r="B2" s="508"/>
      <c r="C2" s="504"/>
      <c r="D2" s="505"/>
      <c r="E2" s="106"/>
      <c r="F2" s="105" t="s">
        <v>344</v>
      </c>
      <c r="G2" s="91"/>
      <c r="I2" s="90"/>
      <c r="J2" s="503"/>
      <c r="K2" s="504"/>
      <c r="L2" s="505"/>
      <c r="M2" s="106"/>
      <c r="N2" s="105" t="str">
        <f>F2</f>
        <v>RONDE 11</v>
      </c>
      <c r="O2" s="91"/>
    </row>
    <row r="3" spans="1:15" ht="9.75" customHeight="1" thickBot="1" x14ac:dyDescent="0.3">
      <c r="A3" s="90"/>
      <c r="B3" s="92"/>
      <c r="C3" s="92"/>
      <c r="D3" s="92"/>
      <c r="E3" s="92"/>
      <c r="F3" s="93"/>
      <c r="G3" s="91"/>
      <c r="I3" s="90"/>
      <c r="J3" s="92"/>
      <c r="K3" s="92"/>
      <c r="L3" s="92"/>
      <c r="M3" s="92"/>
      <c r="N3" s="93"/>
      <c r="O3" s="91"/>
    </row>
    <row r="4" spans="1:15" s="96" customFormat="1" ht="19.5" customHeight="1" thickBot="1" x14ac:dyDescent="0.3">
      <c r="A4" s="94"/>
      <c r="B4" s="499" t="str">
        <f>START!B12</f>
        <v>13:00 - 13:15 uur</v>
      </c>
      <c r="C4" s="496"/>
      <c r="D4" s="496"/>
      <c r="E4" s="497"/>
      <c r="F4" s="104" t="s">
        <v>249</v>
      </c>
      <c r="G4" s="95"/>
      <c r="I4" s="94"/>
      <c r="J4" s="495" t="str">
        <f>B4</f>
        <v>13:00 - 13:15 uur</v>
      </c>
      <c r="K4" s="496"/>
      <c r="L4" s="496"/>
      <c r="M4" s="497"/>
      <c r="N4" s="104" t="s">
        <v>250</v>
      </c>
      <c r="O4" s="95"/>
    </row>
    <row r="5" spans="1:15" ht="14.25" customHeight="1" thickBot="1" x14ac:dyDescent="0.3">
      <c r="A5" s="90"/>
      <c r="B5" s="97"/>
      <c r="C5" s="92"/>
      <c r="D5" s="92"/>
      <c r="E5" s="92"/>
      <c r="F5" s="98"/>
      <c r="G5" s="91"/>
      <c r="I5" s="90"/>
      <c r="J5" s="97"/>
      <c r="K5" s="92"/>
      <c r="L5" s="92"/>
      <c r="M5" s="92"/>
      <c r="N5" s="98"/>
      <c r="O5" s="91"/>
    </row>
    <row r="6" spans="1:15" s="117" customFormat="1" ht="30" customHeight="1" thickBot="1" x14ac:dyDescent="0.35">
      <c r="A6" s="113"/>
      <c r="B6" s="500" t="str">
        <f>EINDRONDE!E21</f>
        <v>De Westfriesies</v>
      </c>
      <c r="C6" s="501"/>
      <c r="D6" s="502"/>
      <c r="E6" s="114"/>
      <c r="F6" s="115"/>
      <c r="G6" s="116"/>
      <c r="I6" s="113"/>
      <c r="J6" s="500" t="str">
        <f>EINDRONDE!E22</f>
        <v>About to get Messi</v>
      </c>
      <c r="K6" s="501"/>
      <c r="L6" s="502"/>
      <c r="M6" s="114"/>
      <c r="N6" s="115"/>
      <c r="O6" s="116"/>
    </row>
    <row r="7" spans="1:15" ht="16.5" thickBot="1" x14ac:dyDescent="0.3">
      <c r="A7" s="90"/>
      <c r="B7" s="99"/>
      <c r="C7" s="99"/>
      <c r="D7" s="99"/>
      <c r="E7" s="99"/>
      <c r="F7" s="99"/>
      <c r="G7" s="91"/>
      <c r="I7" s="90"/>
      <c r="J7" s="99"/>
      <c r="K7" s="99"/>
      <c r="L7" s="99"/>
      <c r="M7" s="99"/>
      <c r="N7" s="99"/>
      <c r="O7" s="91"/>
    </row>
    <row r="8" spans="1:15" s="117" customFormat="1" ht="30" customHeight="1" thickBot="1" x14ac:dyDescent="0.35">
      <c r="A8" s="113"/>
      <c r="B8" s="500" t="str">
        <f>EINDRONDE!J21</f>
        <v>KFC zaterdag VR 35+</v>
      </c>
      <c r="C8" s="501"/>
      <c r="D8" s="502"/>
      <c r="E8" s="114"/>
      <c r="F8" s="115"/>
      <c r="G8" s="116"/>
      <c r="I8" s="113"/>
      <c r="J8" s="500" t="str">
        <f>EINDRONDE!J22</f>
        <v>Fortius 1 dames 35+</v>
      </c>
      <c r="K8" s="501"/>
      <c r="L8" s="502"/>
      <c r="M8" s="114"/>
      <c r="N8" s="115"/>
      <c r="O8" s="116"/>
    </row>
    <row r="9" spans="1:15" ht="12" customHeight="1" x14ac:dyDescent="0.25">
      <c r="A9" s="90"/>
      <c r="B9" s="99"/>
      <c r="C9" s="99"/>
      <c r="D9" s="99"/>
      <c r="E9" s="99"/>
      <c r="F9" s="99"/>
      <c r="G9" s="91"/>
      <c r="I9" s="90"/>
      <c r="J9" s="99"/>
      <c r="K9" s="99"/>
      <c r="L9" s="99"/>
      <c r="M9" s="99"/>
      <c r="N9" s="99"/>
      <c r="O9" s="91"/>
    </row>
    <row r="10" spans="1:15" ht="13.5" customHeight="1" x14ac:dyDescent="0.25">
      <c r="A10" s="90"/>
      <c r="B10" s="498" t="str">
        <f>START!A38</f>
        <v>SCOREKAART - HVC2016</v>
      </c>
      <c r="C10" s="498"/>
      <c r="D10" s="498"/>
      <c r="E10" s="498"/>
      <c r="F10" s="498"/>
      <c r="G10" s="91"/>
      <c r="I10" s="90"/>
      <c r="J10" s="498" t="str">
        <f>B10</f>
        <v>SCOREKAART - HVC2016</v>
      </c>
      <c r="K10" s="498"/>
      <c r="L10" s="498"/>
      <c r="M10" s="498"/>
      <c r="N10" s="498"/>
      <c r="O10" s="91"/>
    </row>
    <row r="11" spans="1:15" ht="11.25" customHeight="1" thickBot="1" x14ac:dyDescent="0.3">
      <c r="A11" s="101"/>
      <c r="B11" s="102"/>
      <c r="C11" s="102"/>
      <c r="D11" s="102"/>
      <c r="E11" s="102"/>
      <c r="F11" s="102"/>
      <c r="G11" s="103"/>
      <c r="I11" s="101"/>
      <c r="J11" s="102"/>
      <c r="K11" s="102"/>
      <c r="L11" s="102"/>
      <c r="M11" s="102"/>
      <c r="N11" s="102"/>
      <c r="O11" s="103"/>
    </row>
    <row r="12" spans="1:15" ht="13.5" customHeight="1" thickBot="1" x14ac:dyDescent="0.3">
      <c r="A12" s="99"/>
      <c r="B12" s="99"/>
      <c r="C12" s="99"/>
      <c r="D12" s="99"/>
      <c r="E12" s="99"/>
      <c r="F12" s="99"/>
      <c r="G12" s="99"/>
      <c r="I12" s="99"/>
      <c r="J12" s="99"/>
      <c r="K12" s="99"/>
      <c r="L12" s="99"/>
      <c r="M12" s="99"/>
      <c r="N12" s="99"/>
      <c r="O12" s="99"/>
    </row>
    <row r="13" spans="1:15" ht="16.5" thickBot="1" x14ac:dyDescent="0.3">
      <c r="A13" s="86"/>
      <c r="B13" s="87"/>
      <c r="C13" s="87"/>
      <c r="D13" s="87"/>
      <c r="E13" s="87"/>
      <c r="F13" s="87"/>
      <c r="G13" s="88"/>
      <c r="I13" s="86"/>
      <c r="J13" s="87"/>
      <c r="K13" s="87"/>
      <c r="L13" s="87"/>
      <c r="M13" s="87"/>
      <c r="N13" s="87"/>
      <c r="O13" s="88"/>
    </row>
    <row r="14" spans="1:15" ht="20.100000000000001" customHeight="1" thickBot="1" x14ac:dyDescent="0.3">
      <c r="A14" s="90"/>
      <c r="B14" s="503"/>
      <c r="C14" s="504"/>
      <c r="D14" s="505"/>
      <c r="E14" s="106"/>
      <c r="F14" s="105" t="str">
        <f>F2</f>
        <v>RONDE 11</v>
      </c>
      <c r="G14" s="91"/>
      <c r="I14" s="90"/>
      <c r="J14" s="503"/>
      <c r="K14" s="504"/>
      <c r="L14" s="505"/>
      <c r="M14" s="106"/>
      <c r="N14" s="105" t="str">
        <f>F2</f>
        <v>RONDE 11</v>
      </c>
      <c r="O14" s="91"/>
    </row>
    <row r="15" spans="1:15" ht="9.75" customHeight="1" thickBot="1" x14ac:dyDescent="0.3">
      <c r="A15" s="90"/>
      <c r="B15" s="92"/>
      <c r="C15" s="92"/>
      <c r="D15" s="92"/>
      <c r="E15" s="92"/>
      <c r="F15" s="93"/>
      <c r="G15" s="91"/>
      <c r="I15" s="90"/>
      <c r="J15" s="92"/>
      <c r="K15" s="92"/>
      <c r="L15" s="92"/>
      <c r="M15" s="92"/>
      <c r="N15" s="93"/>
      <c r="O15" s="91"/>
    </row>
    <row r="16" spans="1:15" ht="20.100000000000001" customHeight="1" thickBot="1" x14ac:dyDescent="0.3">
      <c r="A16" s="94"/>
      <c r="B16" s="495" t="str">
        <f>B4</f>
        <v>13:00 - 13:15 uur</v>
      </c>
      <c r="C16" s="496"/>
      <c r="D16" s="496"/>
      <c r="E16" s="497"/>
      <c r="F16" s="104" t="s">
        <v>251</v>
      </c>
      <c r="G16" s="95"/>
      <c r="H16" s="96"/>
      <c r="I16" s="94"/>
      <c r="J16" s="495" t="str">
        <f>B4</f>
        <v>13:00 - 13:15 uur</v>
      </c>
      <c r="K16" s="496"/>
      <c r="L16" s="496"/>
      <c r="M16" s="497"/>
      <c r="N16" s="104" t="s">
        <v>252</v>
      </c>
      <c r="O16" s="95"/>
    </row>
    <row r="17" spans="1:15" ht="13.5" customHeight="1" thickBot="1" x14ac:dyDescent="0.3">
      <c r="A17" s="90"/>
      <c r="B17" s="97"/>
      <c r="C17" s="92"/>
      <c r="D17" s="92"/>
      <c r="E17" s="92"/>
      <c r="F17" s="98"/>
      <c r="G17" s="91"/>
      <c r="I17" s="90"/>
      <c r="J17" s="97"/>
      <c r="K17" s="92"/>
      <c r="L17" s="92"/>
      <c r="M17" s="92"/>
      <c r="N17" s="98"/>
      <c r="O17" s="91"/>
    </row>
    <row r="18" spans="1:15" s="117" customFormat="1" ht="30" customHeight="1" thickBot="1" x14ac:dyDescent="0.35">
      <c r="A18" s="113"/>
      <c r="B18" s="500" t="str">
        <f>EINDRONDE!E23</f>
        <v>FC Isjeneefer</v>
      </c>
      <c r="C18" s="501"/>
      <c r="D18" s="502"/>
      <c r="E18" s="114"/>
      <c r="F18" s="115"/>
      <c r="G18" s="116"/>
      <c r="I18" s="113"/>
      <c r="J18" s="500" t="s">
        <v>439</v>
      </c>
      <c r="K18" s="501"/>
      <c r="L18" s="502"/>
      <c r="M18" s="114"/>
      <c r="N18" s="115"/>
      <c r="O18" s="116"/>
    </row>
    <row r="19" spans="1:15" ht="16.5" thickBot="1" x14ac:dyDescent="0.3">
      <c r="A19" s="90"/>
      <c r="B19" s="99"/>
      <c r="C19" s="99"/>
      <c r="D19" s="99"/>
      <c r="E19" s="99"/>
      <c r="F19" s="99"/>
      <c r="G19" s="91"/>
      <c r="I19" s="90"/>
      <c r="J19" s="99"/>
      <c r="K19" s="99"/>
      <c r="L19" s="99"/>
      <c r="M19" s="99"/>
      <c r="N19" s="99"/>
      <c r="O19" s="91"/>
    </row>
    <row r="20" spans="1:15" s="117" customFormat="1" ht="30" customHeight="1" thickBot="1" x14ac:dyDescent="0.35">
      <c r="A20" s="113"/>
      <c r="B20" s="500" t="str">
        <f>EINDRONDE!J23</f>
        <v>Wart6</v>
      </c>
      <c r="C20" s="501"/>
      <c r="D20" s="502"/>
      <c r="E20" s="114"/>
      <c r="F20" s="115"/>
      <c r="G20" s="116"/>
      <c r="I20" s="113"/>
      <c r="J20" s="500"/>
      <c r="K20" s="501"/>
      <c r="L20" s="502"/>
      <c r="M20" s="114"/>
      <c r="N20" s="115"/>
      <c r="O20" s="116"/>
    </row>
    <row r="21" spans="1:15" ht="12" customHeight="1" x14ac:dyDescent="0.25">
      <c r="A21" s="90"/>
      <c r="B21" s="99"/>
      <c r="C21" s="99"/>
      <c r="D21" s="99"/>
      <c r="E21" s="99"/>
      <c r="F21" s="99"/>
      <c r="G21" s="91"/>
      <c r="I21" s="90"/>
      <c r="J21" s="99"/>
      <c r="K21" s="99"/>
      <c r="L21" s="99"/>
      <c r="M21" s="99"/>
      <c r="N21" s="99"/>
      <c r="O21" s="91"/>
    </row>
    <row r="22" spans="1:15" ht="13.5" customHeight="1" x14ac:dyDescent="0.25">
      <c r="A22" s="90"/>
      <c r="B22" s="498" t="str">
        <f>B10</f>
        <v>SCOREKAART - HVC2016</v>
      </c>
      <c r="C22" s="498"/>
      <c r="D22" s="498"/>
      <c r="E22" s="498"/>
      <c r="F22" s="498"/>
      <c r="G22" s="91"/>
      <c r="I22" s="90"/>
      <c r="J22" s="498" t="str">
        <f>B10</f>
        <v>SCOREKAART - HVC2016</v>
      </c>
      <c r="K22" s="498"/>
      <c r="L22" s="498"/>
      <c r="M22" s="498"/>
      <c r="N22" s="498"/>
      <c r="O22" s="91"/>
    </row>
    <row r="23" spans="1:15" ht="11.25" customHeight="1" thickBot="1" x14ac:dyDescent="0.3">
      <c r="A23" s="101"/>
      <c r="B23" s="102"/>
      <c r="C23" s="102"/>
      <c r="D23" s="102"/>
      <c r="E23" s="102"/>
      <c r="F23" s="102"/>
      <c r="G23" s="103"/>
      <c r="I23" s="101"/>
      <c r="J23" s="102"/>
      <c r="K23" s="102"/>
      <c r="L23" s="102"/>
      <c r="M23" s="102"/>
      <c r="N23" s="102"/>
      <c r="O23" s="103"/>
    </row>
    <row r="24" spans="1:15" ht="14.1" customHeight="1" thickBot="1" x14ac:dyDescent="0.3">
      <c r="A24" s="107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107"/>
    </row>
    <row r="25" spans="1:15" ht="16.5" customHeight="1" thickBot="1" x14ac:dyDescent="0.3">
      <c r="A25" s="86"/>
      <c r="B25" s="87"/>
      <c r="C25" s="87"/>
      <c r="D25" s="87"/>
      <c r="E25" s="87"/>
      <c r="F25" s="87"/>
      <c r="G25" s="88"/>
      <c r="I25" s="86"/>
      <c r="J25" s="87"/>
      <c r="K25" s="87"/>
      <c r="L25" s="87"/>
      <c r="M25" s="87"/>
      <c r="N25" s="87"/>
      <c r="O25" s="88"/>
    </row>
    <row r="26" spans="1:15" ht="20.100000000000001" customHeight="1" thickBot="1" x14ac:dyDescent="0.3">
      <c r="A26" s="90"/>
      <c r="B26" s="503"/>
      <c r="C26" s="504"/>
      <c r="D26" s="505"/>
      <c r="E26" s="106"/>
      <c r="F26" s="105" t="str">
        <f>F2</f>
        <v>RONDE 11</v>
      </c>
      <c r="G26" s="91"/>
      <c r="I26" s="90"/>
      <c r="J26" s="503"/>
      <c r="K26" s="504"/>
      <c r="L26" s="505"/>
      <c r="M26" s="106"/>
      <c r="N26" s="105" t="str">
        <f>F2</f>
        <v>RONDE 11</v>
      </c>
      <c r="O26" s="91"/>
    </row>
    <row r="27" spans="1:15" ht="13.5" customHeight="1" thickBot="1" x14ac:dyDescent="0.3">
      <c r="A27" s="90"/>
      <c r="B27" s="92"/>
      <c r="C27" s="92"/>
      <c r="D27" s="92"/>
      <c r="E27" s="92"/>
      <c r="F27" s="93"/>
      <c r="G27" s="91"/>
      <c r="I27" s="90"/>
      <c r="J27" s="92"/>
      <c r="K27" s="92"/>
      <c r="L27" s="92"/>
      <c r="M27" s="92"/>
      <c r="N27" s="93"/>
      <c r="O27" s="91"/>
    </row>
    <row r="28" spans="1:15" ht="20.100000000000001" customHeight="1" thickBot="1" x14ac:dyDescent="0.3">
      <c r="A28" s="94"/>
      <c r="B28" s="495" t="str">
        <f>B4</f>
        <v>13:00 - 13:15 uur</v>
      </c>
      <c r="C28" s="496"/>
      <c r="D28" s="496"/>
      <c r="E28" s="497"/>
      <c r="F28" s="104" t="s">
        <v>253</v>
      </c>
      <c r="G28" s="95"/>
      <c r="H28" s="96"/>
      <c r="I28" s="94"/>
      <c r="J28" s="495" t="str">
        <f>B4</f>
        <v>13:00 - 13:15 uur</v>
      </c>
      <c r="K28" s="496"/>
      <c r="L28" s="496"/>
      <c r="M28" s="497"/>
      <c r="N28" s="104" t="s">
        <v>254</v>
      </c>
      <c r="O28" s="95"/>
    </row>
    <row r="29" spans="1:15" ht="13.5" customHeight="1" thickBot="1" x14ac:dyDescent="0.3">
      <c r="A29" s="90"/>
      <c r="B29" s="97"/>
      <c r="C29" s="92"/>
      <c r="D29" s="92"/>
      <c r="E29" s="92"/>
      <c r="F29" s="98"/>
      <c r="G29" s="91"/>
      <c r="I29" s="90"/>
      <c r="J29" s="97"/>
      <c r="K29" s="92"/>
      <c r="L29" s="92"/>
      <c r="M29" s="92"/>
      <c r="N29" s="98"/>
      <c r="O29" s="91"/>
    </row>
    <row r="30" spans="1:15" s="117" customFormat="1" ht="30" customHeight="1" thickBot="1" x14ac:dyDescent="0.35">
      <c r="A30" s="113"/>
      <c r="B30" s="500" t="str">
        <f>EINDRONDE!E25</f>
        <v>Het Bestuur</v>
      </c>
      <c r="C30" s="501"/>
      <c r="D30" s="502"/>
      <c r="E30" s="114"/>
      <c r="F30" s="115"/>
      <c r="G30" s="116"/>
      <c r="I30" s="113"/>
      <c r="J30" s="500" t="str">
        <f>EINDRONDE!E26</f>
        <v>AccentSport Rakkers</v>
      </c>
      <c r="K30" s="501"/>
      <c r="L30" s="502"/>
      <c r="M30" s="114"/>
      <c r="N30" s="115"/>
      <c r="O30" s="116"/>
    </row>
    <row r="31" spans="1:15" ht="16.5" thickBot="1" x14ac:dyDescent="0.3">
      <c r="A31" s="90"/>
      <c r="B31" s="99"/>
      <c r="C31" s="99"/>
      <c r="D31" s="99"/>
      <c r="E31" s="99"/>
      <c r="F31" s="99"/>
      <c r="G31" s="91"/>
      <c r="I31" s="90"/>
      <c r="J31" s="99"/>
      <c r="K31" s="99"/>
      <c r="L31" s="99"/>
      <c r="M31" s="99"/>
      <c r="N31" s="99"/>
      <c r="O31" s="91"/>
    </row>
    <row r="32" spans="1:15" s="117" customFormat="1" ht="30" customHeight="1" thickBot="1" x14ac:dyDescent="0.35">
      <c r="A32" s="113"/>
      <c r="B32" s="500" t="str">
        <f>EINDRONDE!J25</f>
        <v>De Torpedo's</v>
      </c>
      <c r="C32" s="501"/>
      <c r="D32" s="502"/>
      <c r="E32" s="114"/>
      <c r="F32" s="115"/>
      <c r="G32" s="116"/>
      <c r="I32" s="113"/>
      <c r="J32" s="500" t="str">
        <f>EINDRONDE!J26</f>
        <v>Asvv de Schollevers</v>
      </c>
      <c r="K32" s="501"/>
      <c r="L32" s="502"/>
      <c r="M32" s="114"/>
      <c r="N32" s="115"/>
      <c r="O32" s="116"/>
    </row>
    <row r="33" spans="1:15" ht="12" customHeight="1" x14ac:dyDescent="0.25">
      <c r="A33" s="90"/>
      <c r="B33" s="99"/>
      <c r="C33" s="99"/>
      <c r="D33" s="99"/>
      <c r="E33" s="99"/>
      <c r="F33" s="99"/>
      <c r="G33" s="91"/>
      <c r="I33" s="90"/>
      <c r="J33" s="99"/>
      <c r="K33" s="99"/>
      <c r="L33" s="99"/>
      <c r="M33" s="99"/>
      <c r="N33" s="99"/>
      <c r="O33" s="91"/>
    </row>
    <row r="34" spans="1:15" ht="13.5" customHeight="1" x14ac:dyDescent="0.25">
      <c r="A34" s="90"/>
      <c r="B34" s="498" t="str">
        <f>B10</f>
        <v>SCOREKAART - HVC2016</v>
      </c>
      <c r="C34" s="498"/>
      <c r="D34" s="498"/>
      <c r="E34" s="498"/>
      <c r="F34" s="498"/>
      <c r="G34" s="91"/>
      <c r="I34" s="90"/>
      <c r="J34" s="498" t="str">
        <f>B10</f>
        <v>SCOREKAART - HVC2016</v>
      </c>
      <c r="K34" s="498"/>
      <c r="L34" s="498"/>
      <c r="M34" s="498"/>
      <c r="N34" s="498"/>
      <c r="O34" s="91"/>
    </row>
    <row r="35" spans="1:15" ht="12" customHeight="1" thickBot="1" x14ac:dyDescent="0.3">
      <c r="A35" s="101"/>
      <c r="B35" s="102"/>
      <c r="C35" s="102"/>
      <c r="D35" s="102"/>
      <c r="E35" s="102"/>
      <c r="F35" s="102"/>
      <c r="G35" s="103"/>
      <c r="I35" s="101"/>
      <c r="J35" s="102"/>
      <c r="K35" s="102"/>
      <c r="L35" s="102"/>
      <c r="M35" s="102"/>
      <c r="N35" s="102"/>
      <c r="O35" s="103"/>
    </row>
    <row r="36" spans="1:15" ht="14.1" customHeight="1" thickBot="1" x14ac:dyDescent="0.3">
      <c r="A36" s="107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7"/>
    </row>
    <row r="37" spans="1:15" ht="16.5" thickBot="1" x14ac:dyDescent="0.3">
      <c r="A37" s="86"/>
      <c r="B37" s="87"/>
      <c r="C37" s="87"/>
      <c r="D37" s="87"/>
      <c r="E37" s="87"/>
      <c r="F37" s="87"/>
      <c r="G37" s="88"/>
      <c r="I37" s="86"/>
      <c r="J37" s="87"/>
      <c r="K37" s="87"/>
      <c r="L37" s="87"/>
      <c r="M37" s="87"/>
      <c r="N37" s="87"/>
      <c r="O37" s="88"/>
    </row>
    <row r="38" spans="1:15" ht="20.100000000000001" customHeight="1" thickBot="1" x14ac:dyDescent="0.3">
      <c r="A38" s="90"/>
      <c r="B38" s="503"/>
      <c r="C38" s="504"/>
      <c r="D38" s="505"/>
      <c r="E38" s="106"/>
      <c r="F38" s="136" t="s">
        <v>310</v>
      </c>
      <c r="G38" s="91"/>
      <c r="I38" s="90"/>
      <c r="J38" s="503"/>
      <c r="K38" s="504"/>
      <c r="L38" s="505"/>
      <c r="M38" s="106"/>
      <c r="N38" s="105" t="str">
        <f>F38</f>
        <v>RONDE 12</v>
      </c>
      <c r="O38" s="91"/>
    </row>
    <row r="39" spans="1:15" ht="13.5" customHeight="1" thickBot="1" x14ac:dyDescent="0.3">
      <c r="A39" s="90"/>
      <c r="B39" s="92"/>
      <c r="C39" s="92"/>
      <c r="D39" s="92"/>
      <c r="E39" s="92"/>
      <c r="F39" s="93"/>
      <c r="G39" s="91"/>
      <c r="I39" s="90"/>
      <c r="J39" s="92"/>
      <c r="K39" s="92"/>
      <c r="L39" s="92"/>
      <c r="M39" s="92"/>
      <c r="N39" s="93"/>
      <c r="O39" s="91"/>
    </row>
    <row r="40" spans="1:15" ht="20.100000000000001" customHeight="1" thickBot="1" x14ac:dyDescent="0.3">
      <c r="A40" s="94"/>
      <c r="B40" s="499" t="str">
        <f>START!B13</f>
        <v>13:15 - 13:30 uur</v>
      </c>
      <c r="C40" s="496"/>
      <c r="D40" s="496"/>
      <c r="E40" s="497"/>
      <c r="F40" s="104" t="s">
        <v>249</v>
      </c>
      <c r="G40" s="95"/>
      <c r="H40" s="96"/>
      <c r="I40" s="94"/>
      <c r="J40" s="499" t="str">
        <f>B40</f>
        <v>13:15 - 13:30 uur</v>
      </c>
      <c r="K40" s="496"/>
      <c r="L40" s="496"/>
      <c r="M40" s="497"/>
      <c r="N40" s="104" t="s">
        <v>250</v>
      </c>
      <c r="O40" s="95"/>
    </row>
    <row r="41" spans="1:15" ht="13.5" customHeight="1" thickBot="1" x14ac:dyDescent="0.3">
      <c r="A41" s="90"/>
      <c r="B41" s="97"/>
      <c r="C41" s="92"/>
      <c r="D41" s="92"/>
      <c r="E41" s="92"/>
      <c r="F41" s="98"/>
      <c r="G41" s="91"/>
      <c r="I41" s="90"/>
      <c r="J41" s="97"/>
      <c r="K41" s="92"/>
      <c r="L41" s="92"/>
      <c r="M41" s="92"/>
      <c r="N41" s="98"/>
      <c r="O41" s="91"/>
    </row>
    <row r="42" spans="1:15" s="117" customFormat="1" ht="30" customHeight="1" thickBot="1" x14ac:dyDescent="0.35">
      <c r="A42" s="113"/>
      <c r="B42" s="500" t="str">
        <f>EINDRONDE!E29</f>
        <v>Swift Dames</v>
      </c>
      <c r="C42" s="501"/>
      <c r="D42" s="502"/>
      <c r="E42" s="114"/>
      <c r="F42" s="115"/>
      <c r="G42" s="116"/>
      <c r="I42" s="113"/>
      <c r="J42" s="500" t="str">
        <f>EINDRONDE!E30</f>
        <v>Mysterieuze Missers</v>
      </c>
      <c r="K42" s="501"/>
      <c r="L42" s="502"/>
      <c r="M42" s="114"/>
      <c r="N42" s="115"/>
      <c r="O42" s="116"/>
    </row>
    <row r="43" spans="1:15" ht="16.5" thickBot="1" x14ac:dyDescent="0.3">
      <c r="A43" s="90"/>
      <c r="B43" s="99"/>
      <c r="C43" s="99"/>
      <c r="D43" s="99"/>
      <c r="E43" s="99"/>
      <c r="F43" s="99"/>
      <c r="G43" s="91"/>
      <c r="I43" s="90"/>
      <c r="J43" s="99"/>
      <c r="K43" s="99"/>
      <c r="L43" s="99"/>
      <c r="M43" s="99"/>
      <c r="N43" s="99"/>
      <c r="O43" s="91"/>
    </row>
    <row r="44" spans="1:15" s="117" customFormat="1" ht="30" customHeight="1" thickBot="1" x14ac:dyDescent="0.35">
      <c r="A44" s="113"/>
      <c r="B44" s="500" t="str">
        <f>EINDRONDE!J29</f>
        <v>AntiLope</v>
      </c>
      <c r="C44" s="501"/>
      <c r="D44" s="502"/>
      <c r="E44" s="114"/>
      <c r="F44" s="115"/>
      <c r="G44" s="116"/>
      <c r="I44" s="113"/>
      <c r="J44" s="500" t="str">
        <f>EINDRONDE!J30</f>
        <v>De Ronaldozen</v>
      </c>
      <c r="K44" s="501"/>
      <c r="L44" s="502"/>
      <c r="M44" s="114"/>
      <c r="N44" s="115"/>
      <c r="O44" s="116"/>
    </row>
    <row r="45" spans="1:15" ht="12" customHeight="1" x14ac:dyDescent="0.25">
      <c r="A45" s="90"/>
      <c r="B45" s="99"/>
      <c r="C45" s="99"/>
      <c r="D45" s="99"/>
      <c r="E45" s="99"/>
      <c r="F45" s="99"/>
      <c r="G45" s="91"/>
      <c r="I45" s="90"/>
      <c r="J45" s="99"/>
      <c r="K45" s="99"/>
      <c r="L45" s="99"/>
      <c r="M45" s="99"/>
      <c r="N45" s="99"/>
      <c r="O45" s="91"/>
    </row>
    <row r="46" spans="1:15" ht="13.5" customHeight="1" x14ac:dyDescent="0.25">
      <c r="A46" s="90"/>
      <c r="B46" s="498" t="str">
        <f>B10</f>
        <v>SCOREKAART - HVC2016</v>
      </c>
      <c r="C46" s="498"/>
      <c r="D46" s="498"/>
      <c r="E46" s="498"/>
      <c r="F46" s="498"/>
      <c r="G46" s="91"/>
      <c r="I46" s="90"/>
      <c r="J46" s="498" t="str">
        <f>B10</f>
        <v>SCOREKAART - HVC2016</v>
      </c>
      <c r="K46" s="498"/>
      <c r="L46" s="498"/>
      <c r="M46" s="498"/>
      <c r="N46" s="498"/>
      <c r="O46" s="91"/>
    </row>
    <row r="47" spans="1:15" ht="12" customHeight="1" thickBot="1" x14ac:dyDescent="0.3">
      <c r="A47" s="101"/>
      <c r="B47" s="102"/>
      <c r="C47" s="102"/>
      <c r="D47" s="102"/>
      <c r="E47" s="102"/>
      <c r="F47" s="102"/>
      <c r="G47" s="103"/>
      <c r="I47" s="101"/>
      <c r="J47" s="102"/>
      <c r="K47" s="102"/>
      <c r="L47" s="102"/>
      <c r="M47" s="102"/>
      <c r="N47" s="102"/>
      <c r="O47" s="103"/>
    </row>
    <row r="48" spans="1:15" ht="12" customHeight="1" thickBot="1" x14ac:dyDescent="0.3">
      <c r="A48" s="90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1"/>
    </row>
    <row r="49" spans="1:15" ht="16.5" thickBot="1" x14ac:dyDescent="0.3">
      <c r="A49" s="86"/>
      <c r="B49" s="87"/>
      <c r="C49" s="87"/>
      <c r="D49" s="87"/>
      <c r="E49" s="87"/>
      <c r="F49" s="87"/>
      <c r="G49" s="88"/>
      <c r="I49" s="86"/>
      <c r="J49" s="87"/>
      <c r="K49" s="87"/>
      <c r="L49" s="87"/>
      <c r="M49" s="87"/>
      <c r="N49" s="87"/>
      <c r="O49" s="88"/>
    </row>
    <row r="50" spans="1:15" ht="20.25" customHeight="1" thickBot="1" x14ac:dyDescent="0.3">
      <c r="A50" s="90"/>
      <c r="B50" s="506"/>
      <c r="C50" s="504"/>
      <c r="D50" s="505"/>
      <c r="E50" s="106"/>
      <c r="F50" s="105" t="str">
        <f>F38</f>
        <v>RONDE 12</v>
      </c>
      <c r="G50" s="91"/>
      <c r="I50" s="90"/>
      <c r="J50" s="503"/>
      <c r="K50" s="504"/>
      <c r="L50" s="505"/>
      <c r="M50" s="106"/>
      <c r="N50" s="105" t="str">
        <f>F50</f>
        <v>RONDE 12</v>
      </c>
      <c r="O50" s="91"/>
    </row>
    <row r="51" spans="1:15" ht="9.75" customHeight="1" thickBot="1" x14ac:dyDescent="0.3">
      <c r="A51" s="90"/>
      <c r="B51" s="92"/>
      <c r="C51" s="92"/>
      <c r="D51" s="92"/>
      <c r="E51" s="92"/>
      <c r="F51" s="93"/>
      <c r="G51" s="91"/>
      <c r="I51" s="90"/>
      <c r="J51" s="92"/>
      <c r="K51" s="92"/>
      <c r="L51" s="92"/>
      <c r="M51" s="92"/>
      <c r="N51" s="93"/>
      <c r="O51" s="91"/>
    </row>
    <row r="52" spans="1:15" s="96" customFormat="1" ht="19.5" customHeight="1" thickBot="1" x14ac:dyDescent="0.3">
      <c r="A52" s="94"/>
      <c r="B52" s="499" t="str">
        <f>B40</f>
        <v>13:15 - 13:30 uur</v>
      </c>
      <c r="C52" s="496"/>
      <c r="D52" s="496"/>
      <c r="E52" s="497"/>
      <c r="F52" s="104" t="s">
        <v>251</v>
      </c>
      <c r="G52" s="95"/>
      <c r="I52" s="94"/>
      <c r="J52" s="495" t="str">
        <f>B52</f>
        <v>13:15 - 13:30 uur</v>
      </c>
      <c r="K52" s="496"/>
      <c r="L52" s="496"/>
      <c r="M52" s="497"/>
      <c r="N52" s="104" t="s">
        <v>252</v>
      </c>
      <c r="O52" s="95"/>
    </row>
    <row r="53" spans="1:15" ht="14.25" customHeight="1" thickBot="1" x14ac:dyDescent="0.3">
      <c r="A53" s="90"/>
      <c r="B53" s="97"/>
      <c r="C53" s="92"/>
      <c r="D53" s="92"/>
      <c r="E53" s="92"/>
      <c r="F53" s="98"/>
      <c r="G53" s="91"/>
      <c r="I53" s="90"/>
      <c r="J53" s="97"/>
      <c r="K53" s="92"/>
      <c r="L53" s="92"/>
      <c r="M53" s="92"/>
      <c r="N53" s="98"/>
      <c r="O53" s="91"/>
    </row>
    <row r="54" spans="1:15" ht="30" customHeight="1" thickBot="1" x14ac:dyDescent="0.35">
      <c r="A54" s="90"/>
      <c r="B54" s="500" t="str">
        <f>EINDRONDE!E31</f>
        <v>Vrienden van Van Essen</v>
      </c>
      <c r="C54" s="501"/>
      <c r="D54" s="502"/>
      <c r="E54" s="99"/>
      <c r="F54" s="100"/>
      <c r="G54" s="91"/>
      <c r="I54" s="90"/>
      <c r="J54" s="500" t="str">
        <f>EINDRONDE!E32</f>
        <v>De Flitsers 3</v>
      </c>
      <c r="K54" s="501"/>
      <c r="L54" s="502"/>
      <c r="M54" s="99"/>
      <c r="N54" s="100"/>
      <c r="O54" s="91"/>
    </row>
    <row r="55" spans="1:15" ht="16.5" thickBot="1" x14ac:dyDescent="0.3">
      <c r="A55" s="90"/>
      <c r="B55" s="99"/>
      <c r="C55" s="99"/>
      <c r="D55" s="99"/>
      <c r="E55" s="99"/>
      <c r="F55" s="99"/>
      <c r="G55" s="91"/>
      <c r="I55" s="90"/>
      <c r="J55" s="99"/>
      <c r="K55" s="99"/>
      <c r="L55" s="99"/>
      <c r="M55" s="99"/>
      <c r="N55" s="99"/>
      <c r="O55" s="91"/>
    </row>
    <row r="56" spans="1:15" ht="30" customHeight="1" thickBot="1" x14ac:dyDescent="0.35">
      <c r="A56" s="90"/>
      <c r="B56" s="500" t="str">
        <f>EINDRONDE!J31</f>
        <v>De Doofpot</v>
      </c>
      <c r="C56" s="501"/>
      <c r="D56" s="502"/>
      <c r="E56" s="99"/>
      <c r="F56" s="100"/>
      <c r="G56" s="91"/>
      <c r="I56" s="90"/>
      <c r="J56" s="500" t="str">
        <f>EINDRONDE!J32</f>
        <v>Fons Vitaeplein</v>
      </c>
      <c r="K56" s="501"/>
      <c r="L56" s="502"/>
      <c r="M56" s="99"/>
      <c r="N56" s="100"/>
      <c r="O56" s="91"/>
    </row>
    <row r="57" spans="1:15" ht="12" customHeight="1" x14ac:dyDescent="0.25">
      <c r="A57" s="90"/>
      <c r="B57" s="99"/>
      <c r="C57" s="99"/>
      <c r="D57" s="99"/>
      <c r="E57" s="99"/>
      <c r="F57" s="99"/>
      <c r="G57" s="91"/>
      <c r="I57" s="90"/>
      <c r="J57" s="99"/>
      <c r="K57" s="99"/>
      <c r="L57" s="99"/>
      <c r="M57" s="99"/>
      <c r="N57" s="99"/>
      <c r="O57" s="91"/>
    </row>
    <row r="58" spans="1:15" ht="13.5" customHeight="1" x14ac:dyDescent="0.25">
      <c r="A58" s="90"/>
      <c r="B58" s="498" t="str">
        <f>START!A38</f>
        <v>SCOREKAART - HVC2016</v>
      </c>
      <c r="C58" s="498"/>
      <c r="D58" s="498"/>
      <c r="E58" s="498"/>
      <c r="F58" s="498"/>
      <c r="G58" s="91"/>
      <c r="I58" s="90"/>
      <c r="J58" s="498" t="str">
        <f>B58</f>
        <v>SCOREKAART - HVC2016</v>
      </c>
      <c r="K58" s="498"/>
      <c r="L58" s="498"/>
      <c r="M58" s="498"/>
      <c r="N58" s="498"/>
      <c r="O58" s="91"/>
    </row>
    <row r="59" spans="1:15" ht="11.25" customHeight="1" thickBot="1" x14ac:dyDescent="0.3">
      <c r="A59" s="101"/>
      <c r="B59" s="102"/>
      <c r="C59" s="102"/>
      <c r="D59" s="102"/>
      <c r="E59" s="102"/>
      <c r="F59" s="102"/>
      <c r="G59" s="103"/>
      <c r="I59" s="101"/>
      <c r="J59" s="102"/>
      <c r="K59" s="102"/>
      <c r="L59" s="102"/>
      <c r="M59" s="102"/>
      <c r="N59" s="102"/>
      <c r="O59" s="103"/>
    </row>
    <row r="60" spans="1:15" ht="13.5" customHeight="1" thickBot="1" x14ac:dyDescent="0.3">
      <c r="A60" s="99"/>
      <c r="B60" s="99"/>
      <c r="C60" s="99"/>
      <c r="D60" s="99"/>
      <c r="E60" s="99"/>
      <c r="F60" s="99"/>
      <c r="G60" s="99"/>
      <c r="I60" s="99"/>
      <c r="J60" s="99"/>
      <c r="K60" s="99"/>
      <c r="L60" s="99"/>
      <c r="M60" s="99"/>
      <c r="N60" s="99"/>
      <c r="O60" s="99"/>
    </row>
    <row r="61" spans="1:15" ht="16.5" thickBot="1" x14ac:dyDescent="0.3">
      <c r="A61" s="86"/>
      <c r="B61" s="87"/>
      <c r="C61" s="87"/>
      <c r="D61" s="87"/>
      <c r="E61" s="87"/>
      <c r="F61" s="87"/>
      <c r="G61" s="88"/>
      <c r="I61" s="86"/>
      <c r="J61" s="87"/>
      <c r="K61" s="87"/>
      <c r="L61" s="87"/>
      <c r="M61" s="87"/>
      <c r="N61" s="87"/>
      <c r="O61" s="88"/>
    </row>
    <row r="62" spans="1:15" ht="20.100000000000001" customHeight="1" thickBot="1" x14ac:dyDescent="0.3">
      <c r="A62" s="90"/>
      <c r="B62" s="503"/>
      <c r="C62" s="504"/>
      <c r="D62" s="505"/>
      <c r="E62" s="106"/>
      <c r="F62" s="105" t="str">
        <f>F50</f>
        <v>RONDE 12</v>
      </c>
      <c r="G62" s="91"/>
      <c r="I62" s="90"/>
      <c r="J62" s="503"/>
      <c r="K62" s="504"/>
      <c r="L62" s="505"/>
      <c r="M62" s="106"/>
      <c r="N62" s="105" t="str">
        <f>F50</f>
        <v>RONDE 12</v>
      </c>
      <c r="O62" s="91"/>
    </row>
    <row r="63" spans="1:15" ht="9.75" customHeight="1" thickBot="1" x14ac:dyDescent="0.3">
      <c r="A63" s="90"/>
      <c r="B63" s="92"/>
      <c r="C63" s="92"/>
      <c r="D63" s="92"/>
      <c r="E63" s="92"/>
      <c r="F63" s="93"/>
      <c r="G63" s="91"/>
      <c r="I63" s="90"/>
      <c r="J63" s="92"/>
      <c r="K63" s="92"/>
      <c r="L63" s="92"/>
      <c r="M63" s="92"/>
      <c r="N63" s="93"/>
      <c r="O63" s="91"/>
    </row>
    <row r="64" spans="1:15" ht="20.100000000000001" customHeight="1" thickBot="1" x14ac:dyDescent="0.3">
      <c r="A64" s="94"/>
      <c r="B64" s="495" t="str">
        <f>B52</f>
        <v>13:15 - 13:30 uur</v>
      </c>
      <c r="C64" s="496"/>
      <c r="D64" s="496"/>
      <c r="E64" s="497"/>
      <c r="F64" s="104" t="s">
        <v>253</v>
      </c>
      <c r="G64" s="95"/>
      <c r="H64" s="96"/>
      <c r="I64" s="94"/>
      <c r="J64" s="495" t="str">
        <f>B52</f>
        <v>13:15 - 13:30 uur</v>
      </c>
      <c r="K64" s="496"/>
      <c r="L64" s="496"/>
      <c r="M64" s="497"/>
      <c r="N64" s="104" t="s">
        <v>254</v>
      </c>
      <c r="O64" s="95"/>
    </row>
    <row r="65" spans="1:15" ht="13.5" customHeight="1" thickBot="1" x14ac:dyDescent="0.3">
      <c r="A65" s="90"/>
      <c r="B65" s="97"/>
      <c r="C65" s="92"/>
      <c r="D65" s="92"/>
      <c r="E65" s="92"/>
      <c r="F65" s="98"/>
      <c r="G65" s="91"/>
      <c r="I65" s="90"/>
      <c r="J65" s="97"/>
      <c r="K65" s="92"/>
      <c r="L65" s="92"/>
      <c r="M65" s="92"/>
      <c r="N65" s="98"/>
      <c r="O65" s="91"/>
    </row>
    <row r="66" spans="1:15" ht="29.25" customHeight="1" thickBot="1" x14ac:dyDescent="0.35">
      <c r="A66" s="90"/>
      <c r="B66" s="500" t="str">
        <f>EINDRONDE!E33</f>
        <v>Amsterdam Finest ss16</v>
      </c>
      <c r="C66" s="501"/>
      <c r="D66" s="502"/>
      <c r="E66" s="99"/>
      <c r="F66" s="100"/>
      <c r="G66" s="91"/>
      <c r="I66" s="90"/>
      <c r="J66" s="500" t="str">
        <f>EINDRONDE!E34</f>
        <v>Team Bombert</v>
      </c>
      <c r="K66" s="501"/>
      <c r="L66" s="502"/>
      <c r="M66" s="99"/>
      <c r="N66" s="100"/>
      <c r="O66" s="91"/>
    </row>
    <row r="67" spans="1:15" ht="16.5" thickBot="1" x14ac:dyDescent="0.3">
      <c r="A67" s="90"/>
      <c r="B67" s="99"/>
      <c r="C67" s="99"/>
      <c r="D67" s="99"/>
      <c r="E67" s="99"/>
      <c r="F67" s="99"/>
      <c r="G67" s="91"/>
      <c r="I67" s="90"/>
      <c r="J67" s="99"/>
      <c r="K67" s="99"/>
      <c r="L67" s="99"/>
      <c r="M67" s="99"/>
      <c r="N67" s="99"/>
      <c r="O67" s="91"/>
    </row>
    <row r="68" spans="1:15" ht="30" customHeight="1" thickBot="1" x14ac:dyDescent="0.35">
      <c r="A68" s="90"/>
      <c r="B68" s="500" t="str">
        <f>EINDRONDE!J33</f>
        <v>De Kabel</v>
      </c>
      <c r="C68" s="501"/>
      <c r="D68" s="502"/>
      <c r="E68" s="99"/>
      <c r="F68" s="100"/>
      <c r="G68" s="91"/>
      <c r="I68" s="90"/>
      <c r="J68" s="500" t="str">
        <f>EINDRONDE!J34</f>
        <v>Om des Keijzers baerdt</v>
      </c>
      <c r="K68" s="501"/>
      <c r="L68" s="502"/>
      <c r="M68" s="99"/>
      <c r="N68" s="100"/>
      <c r="O68" s="91"/>
    </row>
    <row r="69" spans="1:15" ht="12" customHeight="1" x14ac:dyDescent="0.25">
      <c r="A69" s="90"/>
      <c r="B69" s="99"/>
      <c r="C69" s="99"/>
      <c r="D69" s="99"/>
      <c r="E69" s="99"/>
      <c r="F69" s="99"/>
      <c r="G69" s="91"/>
      <c r="I69" s="90"/>
      <c r="J69" s="99"/>
      <c r="K69" s="99"/>
      <c r="L69" s="99"/>
      <c r="M69" s="99"/>
      <c r="N69" s="99"/>
      <c r="O69" s="91"/>
    </row>
    <row r="70" spans="1:15" ht="13.5" customHeight="1" x14ac:dyDescent="0.25">
      <c r="A70" s="90"/>
      <c r="B70" s="498" t="str">
        <f>B58</f>
        <v>SCOREKAART - HVC2016</v>
      </c>
      <c r="C70" s="498"/>
      <c r="D70" s="498"/>
      <c r="E70" s="498"/>
      <c r="F70" s="498"/>
      <c r="G70" s="91"/>
      <c r="I70" s="90"/>
      <c r="J70" s="498" t="str">
        <f>B58</f>
        <v>SCOREKAART - HVC2016</v>
      </c>
      <c r="K70" s="498"/>
      <c r="L70" s="498"/>
      <c r="M70" s="498"/>
      <c r="N70" s="498"/>
      <c r="O70" s="91"/>
    </row>
    <row r="71" spans="1:15" ht="11.25" customHeight="1" thickBot="1" x14ac:dyDescent="0.3">
      <c r="A71" s="101"/>
      <c r="B71" s="102"/>
      <c r="C71" s="102"/>
      <c r="D71" s="102"/>
      <c r="E71" s="102"/>
      <c r="F71" s="102"/>
      <c r="G71" s="103"/>
      <c r="I71" s="101"/>
      <c r="J71" s="102"/>
      <c r="K71" s="102"/>
      <c r="L71" s="102"/>
      <c r="M71" s="102"/>
      <c r="N71" s="102"/>
      <c r="O71" s="103"/>
    </row>
    <row r="72" spans="1:15" ht="14.1" customHeight="1" thickBot="1" x14ac:dyDescent="0.3">
      <c r="A72" s="107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7"/>
    </row>
    <row r="73" spans="1:15" ht="16.5" customHeight="1" thickBot="1" x14ac:dyDescent="0.3">
      <c r="A73" s="86"/>
      <c r="B73" s="87"/>
      <c r="C73" s="87"/>
      <c r="D73" s="87"/>
      <c r="E73" s="87"/>
      <c r="F73" s="87"/>
      <c r="G73" s="88"/>
      <c r="I73" s="86"/>
      <c r="J73" s="87"/>
      <c r="K73" s="87"/>
      <c r="L73" s="87"/>
      <c r="M73" s="87"/>
      <c r="N73" s="87"/>
      <c r="O73" s="88"/>
    </row>
    <row r="74" spans="1:15" ht="20.100000000000001" customHeight="1" thickBot="1" x14ac:dyDescent="0.3">
      <c r="A74" s="90"/>
      <c r="B74" s="503"/>
      <c r="C74" s="504"/>
      <c r="D74" s="505"/>
      <c r="E74" s="106"/>
      <c r="F74" s="136" t="s">
        <v>57</v>
      </c>
      <c r="G74" s="91"/>
      <c r="I74" s="90"/>
      <c r="J74" s="503"/>
      <c r="K74" s="504"/>
      <c r="L74" s="505"/>
      <c r="M74" s="106"/>
      <c r="N74" s="105" t="str">
        <f>F74</f>
        <v>RONDE 13</v>
      </c>
      <c r="O74" s="91"/>
    </row>
    <row r="75" spans="1:15" ht="13.5" customHeight="1" thickBot="1" x14ac:dyDescent="0.3">
      <c r="A75" s="90"/>
      <c r="B75" s="92"/>
      <c r="C75" s="92"/>
      <c r="D75" s="92"/>
      <c r="E75" s="92"/>
      <c r="F75" s="93"/>
      <c r="G75" s="91"/>
      <c r="I75" s="90"/>
      <c r="J75" s="92"/>
      <c r="K75" s="92"/>
      <c r="L75" s="92"/>
      <c r="M75" s="92"/>
      <c r="N75" s="93"/>
      <c r="O75" s="91"/>
    </row>
    <row r="76" spans="1:15" ht="20.100000000000001" customHeight="1" thickBot="1" x14ac:dyDescent="0.3">
      <c r="A76" s="94"/>
      <c r="B76" s="499" t="str">
        <f>START!B14</f>
        <v>13:30 - 13:45 uur</v>
      </c>
      <c r="C76" s="496"/>
      <c r="D76" s="496"/>
      <c r="E76" s="497"/>
      <c r="F76" s="104" t="s">
        <v>249</v>
      </c>
      <c r="G76" s="95"/>
      <c r="H76" s="96"/>
      <c r="I76" s="94"/>
      <c r="J76" s="495" t="str">
        <f>B76</f>
        <v>13:30 - 13:45 uur</v>
      </c>
      <c r="K76" s="496"/>
      <c r="L76" s="496"/>
      <c r="M76" s="497"/>
      <c r="N76" s="104" t="s">
        <v>250</v>
      </c>
      <c r="O76" s="95"/>
    </row>
    <row r="77" spans="1:15" ht="13.5" customHeight="1" thickBot="1" x14ac:dyDescent="0.3">
      <c r="A77" s="90"/>
      <c r="B77" s="97"/>
      <c r="C77" s="92"/>
      <c r="D77" s="92"/>
      <c r="E77" s="92"/>
      <c r="F77" s="98"/>
      <c r="G77" s="91"/>
      <c r="I77" s="90"/>
      <c r="J77" s="97"/>
      <c r="K77" s="92"/>
      <c r="L77" s="92"/>
      <c r="M77" s="92"/>
      <c r="N77" s="98"/>
      <c r="O77" s="91"/>
    </row>
    <row r="78" spans="1:15" ht="30" customHeight="1" thickBot="1" x14ac:dyDescent="0.35">
      <c r="A78" s="90"/>
      <c r="B78" s="500" t="str">
        <f>EINDRONDE!E37</f>
        <v>Borrelnood</v>
      </c>
      <c r="C78" s="501"/>
      <c r="D78" s="502"/>
      <c r="E78" s="99"/>
      <c r="F78" s="100"/>
      <c r="G78" s="91"/>
      <c r="I78" s="90"/>
      <c r="J78" s="500" t="str">
        <f>EINDRONDE!E38</f>
        <v>RAP 2</v>
      </c>
      <c r="K78" s="501"/>
      <c r="L78" s="502"/>
      <c r="M78" s="99"/>
      <c r="N78" s="100"/>
      <c r="O78" s="91"/>
    </row>
    <row r="79" spans="1:15" ht="16.5" thickBot="1" x14ac:dyDescent="0.3">
      <c r="A79" s="90"/>
      <c r="B79" s="99"/>
      <c r="C79" s="99"/>
      <c r="D79" s="99"/>
      <c r="E79" s="99"/>
      <c r="F79" s="99"/>
      <c r="G79" s="91"/>
      <c r="I79" s="90"/>
      <c r="J79" s="99"/>
      <c r="K79" s="99"/>
      <c r="L79" s="99"/>
      <c r="M79" s="99"/>
      <c r="N79" s="99"/>
      <c r="O79" s="91"/>
    </row>
    <row r="80" spans="1:15" ht="30" customHeight="1" thickBot="1" x14ac:dyDescent="0.35">
      <c r="A80" s="90"/>
      <c r="B80" s="500" t="str">
        <f>EINDRONDE!J37</f>
        <v>De Vedettjes</v>
      </c>
      <c r="C80" s="501"/>
      <c r="D80" s="502"/>
      <c r="E80" s="99"/>
      <c r="F80" s="100"/>
      <c r="G80" s="91"/>
      <c r="I80" s="90"/>
      <c r="J80" s="500" t="str">
        <f>EINDRONDE!J38</f>
        <v>De Chouffjes</v>
      </c>
      <c r="K80" s="501"/>
      <c r="L80" s="502"/>
      <c r="M80" s="99"/>
      <c r="N80" s="100"/>
      <c r="O80" s="91"/>
    </row>
    <row r="81" spans="1:15" ht="12" customHeight="1" x14ac:dyDescent="0.25">
      <c r="A81" s="90"/>
      <c r="B81" s="99"/>
      <c r="C81" s="99"/>
      <c r="D81" s="99"/>
      <c r="E81" s="99"/>
      <c r="F81" s="99"/>
      <c r="G81" s="91"/>
      <c r="I81" s="90"/>
      <c r="J81" s="99"/>
      <c r="K81" s="99"/>
      <c r="L81" s="99"/>
      <c r="M81" s="99"/>
      <c r="N81" s="99"/>
      <c r="O81" s="91"/>
    </row>
    <row r="82" spans="1:15" ht="13.5" customHeight="1" x14ac:dyDescent="0.25">
      <c r="A82" s="90"/>
      <c r="B82" s="498" t="str">
        <f>B58</f>
        <v>SCOREKAART - HVC2016</v>
      </c>
      <c r="C82" s="498"/>
      <c r="D82" s="498"/>
      <c r="E82" s="498"/>
      <c r="F82" s="498"/>
      <c r="G82" s="91"/>
      <c r="I82" s="90"/>
      <c r="J82" s="498" t="str">
        <f>B58</f>
        <v>SCOREKAART - HVC2016</v>
      </c>
      <c r="K82" s="498"/>
      <c r="L82" s="498"/>
      <c r="M82" s="498"/>
      <c r="N82" s="498"/>
      <c r="O82" s="91"/>
    </row>
    <row r="83" spans="1:15" ht="12" customHeight="1" thickBot="1" x14ac:dyDescent="0.3">
      <c r="A83" s="101"/>
      <c r="B83" s="102"/>
      <c r="C83" s="102"/>
      <c r="D83" s="102"/>
      <c r="E83" s="102"/>
      <c r="F83" s="102"/>
      <c r="G83" s="103"/>
      <c r="I83" s="101"/>
      <c r="J83" s="102"/>
      <c r="K83" s="102"/>
      <c r="L83" s="102"/>
      <c r="M83" s="102"/>
      <c r="N83" s="102"/>
      <c r="O83" s="103"/>
    </row>
    <row r="84" spans="1:15" ht="14.1" customHeight="1" thickBot="1" x14ac:dyDescent="0.3">
      <c r="A84" s="107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107"/>
    </row>
    <row r="85" spans="1:15" ht="16.5" thickBot="1" x14ac:dyDescent="0.3">
      <c r="A85" s="86"/>
      <c r="B85" s="87"/>
      <c r="C85" s="87"/>
      <c r="D85" s="87"/>
      <c r="E85" s="87"/>
      <c r="F85" s="87"/>
      <c r="G85" s="88"/>
      <c r="I85" s="86"/>
      <c r="J85" s="87"/>
      <c r="K85" s="87"/>
      <c r="L85" s="87"/>
      <c r="M85" s="87"/>
      <c r="N85" s="87"/>
      <c r="O85" s="88"/>
    </row>
    <row r="86" spans="1:15" ht="20.100000000000001" customHeight="1" thickBot="1" x14ac:dyDescent="0.3">
      <c r="A86" s="90"/>
      <c r="B86" s="503"/>
      <c r="C86" s="504"/>
      <c r="D86" s="505"/>
      <c r="E86" s="106"/>
      <c r="F86" s="105" t="str">
        <f>F74</f>
        <v>RONDE 13</v>
      </c>
      <c r="G86" s="91"/>
      <c r="I86" s="90"/>
      <c r="J86" s="503"/>
      <c r="K86" s="504"/>
      <c r="L86" s="505"/>
      <c r="M86" s="106"/>
      <c r="N86" s="105" t="str">
        <f>F74</f>
        <v>RONDE 13</v>
      </c>
      <c r="O86" s="91"/>
    </row>
    <row r="87" spans="1:15" ht="13.5" customHeight="1" thickBot="1" x14ac:dyDescent="0.3">
      <c r="A87" s="90"/>
      <c r="B87" s="92"/>
      <c r="C87" s="92"/>
      <c r="D87" s="92"/>
      <c r="E87" s="92"/>
      <c r="F87" s="93"/>
      <c r="G87" s="91"/>
      <c r="I87" s="90"/>
      <c r="J87" s="92"/>
      <c r="K87" s="92"/>
      <c r="L87" s="92"/>
      <c r="M87" s="92"/>
      <c r="N87" s="93"/>
      <c r="O87" s="91"/>
    </row>
    <row r="88" spans="1:15" ht="20.100000000000001" customHeight="1" thickBot="1" x14ac:dyDescent="0.3">
      <c r="A88" s="94"/>
      <c r="B88" s="495" t="str">
        <f>B76</f>
        <v>13:30 - 13:45 uur</v>
      </c>
      <c r="C88" s="496"/>
      <c r="D88" s="496"/>
      <c r="E88" s="497"/>
      <c r="F88" s="104" t="s">
        <v>251</v>
      </c>
      <c r="G88" s="95"/>
      <c r="H88" s="96"/>
      <c r="I88" s="94"/>
      <c r="J88" s="499" t="str">
        <f>B76</f>
        <v>13:30 - 13:45 uur</v>
      </c>
      <c r="K88" s="496"/>
      <c r="L88" s="496"/>
      <c r="M88" s="497"/>
      <c r="N88" s="104" t="s">
        <v>252</v>
      </c>
      <c r="O88" s="95"/>
    </row>
    <row r="89" spans="1:15" ht="13.5" customHeight="1" thickBot="1" x14ac:dyDescent="0.3">
      <c r="A89" s="90"/>
      <c r="B89" s="97"/>
      <c r="C89" s="92"/>
      <c r="D89" s="92"/>
      <c r="E89" s="92"/>
      <c r="F89" s="98"/>
      <c r="G89" s="91"/>
      <c r="I89" s="90"/>
      <c r="J89" s="97"/>
      <c r="K89" s="92"/>
      <c r="L89" s="92"/>
      <c r="M89" s="92"/>
      <c r="N89" s="98"/>
      <c r="O89" s="91"/>
    </row>
    <row r="90" spans="1:15" ht="30" customHeight="1" thickBot="1" x14ac:dyDescent="0.35">
      <c r="A90" s="90"/>
      <c r="B90" s="500" t="str">
        <f>EINDRONDE!E39</f>
        <v>FC Vondelpark</v>
      </c>
      <c r="C90" s="501"/>
      <c r="D90" s="502"/>
      <c r="E90" s="99"/>
      <c r="F90" s="100"/>
      <c r="G90" s="91"/>
      <c r="I90" s="90"/>
      <c r="J90" s="500" t="str">
        <f>EINDRONDE!E40</f>
        <v>Veddetero's klunzen</v>
      </c>
      <c r="K90" s="501"/>
      <c r="L90" s="502"/>
      <c r="M90" s="99"/>
      <c r="N90" s="100"/>
      <c r="O90" s="91"/>
    </row>
    <row r="91" spans="1:15" ht="16.5" thickBot="1" x14ac:dyDescent="0.3">
      <c r="A91" s="90"/>
      <c r="B91" s="99"/>
      <c r="C91" s="99"/>
      <c r="D91" s="99"/>
      <c r="E91" s="99"/>
      <c r="F91" s="99"/>
      <c r="G91" s="91"/>
      <c r="I91" s="90"/>
      <c r="J91" s="99"/>
      <c r="K91" s="99"/>
      <c r="L91" s="99"/>
      <c r="M91" s="99"/>
      <c r="N91" s="99"/>
      <c r="O91" s="91"/>
    </row>
    <row r="92" spans="1:15" ht="30" customHeight="1" thickBot="1" x14ac:dyDescent="0.35">
      <c r="A92" s="90"/>
      <c r="B92" s="500" t="str">
        <f>EINDRONDE!J39</f>
        <v>IAMB&amp;B</v>
      </c>
      <c r="C92" s="501"/>
      <c r="D92" s="502"/>
      <c r="E92" s="99"/>
      <c r="F92" s="100"/>
      <c r="G92" s="91"/>
      <c r="I92" s="90"/>
      <c r="J92" s="500" t="str">
        <f>EINDRONDE!J40</f>
        <v>FC Papa</v>
      </c>
      <c r="K92" s="501"/>
      <c r="L92" s="502"/>
      <c r="M92" s="99"/>
      <c r="N92" s="100"/>
      <c r="O92" s="91"/>
    </row>
    <row r="93" spans="1:15" ht="12" customHeight="1" x14ac:dyDescent="0.25">
      <c r="A93" s="90"/>
      <c r="B93" s="99"/>
      <c r="C93" s="99"/>
      <c r="D93" s="99"/>
      <c r="E93" s="99"/>
      <c r="F93" s="99"/>
      <c r="G93" s="91"/>
      <c r="I93" s="90"/>
      <c r="J93" s="99"/>
      <c r="K93" s="99"/>
      <c r="L93" s="99"/>
      <c r="M93" s="99"/>
      <c r="N93" s="99"/>
      <c r="O93" s="91"/>
    </row>
    <row r="94" spans="1:15" ht="13.5" customHeight="1" x14ac:dyDescent="0.25">
      <c r="A94" s="90"/>
      <c r="B94" s="498" t="str">
        <f>B58</f>
        <v>SCOREKAART - HVC2016</v>
      </c>
      <c r="C94" s="498"/>
      <c r="D94" s="498"/>
      <c r="E94" s="498"/>
      <c r="F94" s="498"/>
      <c r="G94" s="91"/>
      <c r="I94" s="90"/>
      <c r="J94" s="498" t="str">
        <f>B58</f>
        <v>SCOREKAART - HVC2016</v>
      </c>
      <c r="K94" s="498"/>
      <c r="L94" s="498"/>
      <c r="M94" s="498"/>
      <c r="N94" s="498"/>
      <c r="O94" s="91"/>
    </row>
    <row r="95" spans="1:15" ht="12" customHeight="1" thickBot="1" x14ac:dyDescent="0.3">
      <c r="A95" s="101"/>
      <c r="B95" s="102"/>
      <c r="C95" s="102"/>
      <c r="D95" s="102"/>
      <c r="E95" s="102"/>
      <c r="F95" s="102"/>
      <c r="G95" s="103"/>
      <c r="I95" s="101"/>
      <c r="J95" s="102"/>
      <c r="K95" s="102"/>
      <c r="L95" s="102"/>
      <c r="M95" s="102"/>
      <c r="N95" s="102"/>
      <c r="O95" s="103"/>
    </row>
    <row r="96" spans="1:15" ht="16.5" thickBot="1" x14ac:dyDescent="0.3">
      <c r="A96" s="86"/>
      <c r="B96" s="87"/>
      <c r="C96" s="87"/>
      <c r="D96" s="87"/>
      <c r="E96" s="87"/>
      <c r="F96" s="87"/>
      <c r="G96" s="88"/>
      <c r="I96" s="86"/>
      <c r="J96" s="87"/>
      <c r="K96" s="87"/>
      <c r="L96" s="87"/>
      <c r="M96" s="87"/>
      <c r="N96" s="87"/>
      <c r="O96" s="88"/>
    </row>
    <row r="97" spans="1:15" ht="20.25" customHeight="1" thickBot="1" x14ac:dyDescent="0.3">
      <c r="A97" s="90"/>
      <c r="B97" s="506"/>
      <c r="C97" s="504"/>
      <c r="D97" s="505"/>
      <c r="E97" s="106"/>
      <c r="F97" s="105" t="str">
        <f>F86</f>
        <v>RONDE 13</v>
      </c>
      <c r="G97" s="91"/>
      <c r="I97" s="90"/>
      <c r="J97" s="503"/>
      <c r="K97" s="504"/>
      <c r="L97" s="505"/>
      <c r="M97" s="106"/>
      <c r="N97" s="105" t="str">
        <f>F97</f>
        <v>RONDE 13</v>
      </c>
      <c r="O97" s="91"/>
    </row>
    <row r="98" spans="1:15" ht="9.75" customHeight="1" thickBot="1" x14ac:dyDescent="0.3">
      <c r="A98" s="90"/>
      <c r="B98" s="92"/>
      <c r="C98" s="92"/>
      <c r="D98" s="92"/>
      <c r="E98" s="92"/>
      <c r="F98" s="93"/>
      <c r="G98" s="91"/>
      <c r="I98" s="90"/>
      <c r="J98" s="92"/>
      <c r="K98" s="92"/>
      <c r="L98" s="92"/>
      <c r="M98" s="92"/>
      <c r="N98" s="93"/>
      <c r="O98" s="91"/>
    </row>
    <row r="99" spans="1:15" s="96" customFormat="1" ht="19.5" customHeight="1" thickBot="1" x14ac:dyDescent="0.3">
      <c r="A99" s="94"/>
      <c r="B99" s="499" t="str">
        <f>B88</f>
        <v>13:30 - 13:45 uur</v>
      </c>
      <c r="C99" s="496"/>
      <c r="D99" s="496"/>
      <c r="E99" s="497"/>
      <c r="F99" s="104" t="s">
        <v>253</v>
      </c>
      <c r="G99" s="95"/>
      <c r="I99" s="94"/>
      <c r="J99" s="495" t="str">
        <f>B99</f>
        <v>13:30 - 13:45 uur</v>
      </c>
      <c r="K99" s="496"/>
      <c r="L99" s="496"/>
      <c r="M99" s="497"/>
      <c r="N99" s="104" t="s">
        <v>254</v>
      </c>
      <c r="O99" s="95"/>
    </row>
    <row r="100" spans="1:15" ht="14.25" customHeight="1" thickBot="1" x14ac:dyDescent="0.3">
      <c r="A100" s="90"/>
      <c r="B100" s="97"/>
      <c r="C100" s="92"/>
      <c r="D100" s="92"/>
      <c r="E100" s="92"/>
      <c r="F100" s="98"/>
      <c r="G100" s="91"/>
      <c r="I100" s="90"/>
      <c r="J100" s="97"/>
      <c r="K100" s="92"/>
      <c r="L100" s="92"/>
      <c r="M100" s="92"/>
      <c r="N100" s="98"/>
      <c r="O100" s="91"/>
    </row>
    <row r="101" spans="1:15" s="117" customFormat="1" ht="30" customHeight="1" thickBot="1" x14ac:dyDescent="0.35">
      <c r="A101" s="113"/>
      <c r="B101" s="500" t="str">
        <f>EINDRONDE!E41</f>
        <v>FC Carnabal</v>
      </c>
      <c r="C101" s="501"/>
      <c r="D101" s="502"/>
      <c r="E101" s="114"/>
      <c r="F101" s="115"/>
      <c r="G101" s="116"/>
      <c r="I101" s="113"/>
      <c r="J101" s="500" t="str">
        <f>EINDRONDE!E42</f>
        <v>Monnie Represent</v>
      </c>
      <c r="K101" s="501"/>
      <c r="L101" s="502"/>
      <c r="M101" s="114"/>
      <c r="N101" s="115"/>
      <c r="O101" s="116"/>
    </row>
    <row r="102" spans="1:15" ht="16.5" thickBot="1" x14ac:dyDescent="0.3">
      <c r="A102" s="90"/>
      <c r="B102" s="99"/>
      <c r="C102" s="99"/>
      <c r="D102" s="99"/>
      <c r="E102" s="99"/>
      <c r="F102" s="99"/>
      <c r="G102" s="91"/>
      <c r="I102" s="90"/>
      <c r="J102" s="99"/>
      <c r="K102" s="99"/>
      <c r="L102" s="99"/>
      <c r="M102" s="99"/>
      <c r="N102" s="99"/>
      <c r="O102" s="91"/>
    </row>
    <row r="103" spans="1:15" s="117" customFormat="1" ht="30" customHeight="1" thickBot="1" x14ac:dyDescent="0.35">
      <c r="A103" s="113"/>
      <c r="B103" s="500" t="str">
        <f>EINDRONDE!J41</f>
        <v>Carte blanche</v>
      </c>
      <c r="C103" s="501"/>
      <c r="D103" s="502"/>
      <c r="E103" s="114"/>
      <c r="F103" s="115"/>
      <c r="G103" s="116"/>
      <c r="I103" s="113"/>
      <c r="J103" s="500" t="str">
        <f>EINDRONDE!J42</f>
        <v>MAN ON F.C</v>
      </c>
      <c r="K103" s="501"/>
      <c r="L103" s="502"/>
      <c r="M103" s="114"/>
      <c r="N103" s="115"/>
      <c r="O103" s="116"/>
    </row>
    <row r="104" spans="1:15" ht="12" customHeight="1" x14ac:dyDescent="0.25">
      <c r="A104" s="90"/>
      <c r="B104" s="99"/>
      <c r="C104" s="99"/>
      <c r="D104" s="99"/>
      <c r="E104" s="99"/>
      <c r="F104" s="99"/>
      <c r="G104" s="91"/>
      <c r="I104" s="90"/>
      <c r="J104" s="99"/>
      <c r="K104" s="99"/>
      <c r="L104" s="99"/>
      <c r="M104" s="99"/>
      <c r="N104" s="99"/>
      <c r="O104" s="91"/>
    </row>
    <row r="105" spans="1:15" ht="13.5" customHeight="1" x14ac:dyDescent="0.25">
      <c r="A105" s="90"/>
      <c r="B105" s="498" t="str">
        <f>B94</f>
        <v>SCOREKAART - HVC2016</v>
      </c>
      <c r="C105" s="498"/>
      <c r="D105" s="498"/>
      <c r="E105" s="498"/>
      <c r="F105" s="498"/>
      <c r="G105" s="91"/>
      <c r="I105" s="90"/>
      <c r="J105" s="498" t="str">
        <f>B105</f>
        <v>SCOREKAART - HVC2016</v>
      </c>
      <c r="K105" s="498"/>
      <c r="L105" s="498"/>
      <c r="M105" s="498"/>
      <c r="N105" s="498"/>
      <c r="O105" s="91"/>
    </row>
    <row r="106" spans="1:15" ht="11.25" customHeight="1" thickBot="1" x14ac:dyDescent="0.3">
      <c r="A106" s="101"/>
      <c r="B106" s="102"/>
      <c r="C106" s="102"/>
      <c r="D106" s="102"/>
      <c r="E106" s="102"/>
      <c r="F106" s="102"/>
      <c r="G106" s="103"/>
      <c r="I106" s="101"/>
      <c r="J106" s="102"/>
      <c r="K106" s="102"/>
      <c r="L106" s="102"/>
      <c r="M106" s="102"/>
      <c r="N106" s="102"/>
      <c r="O106" s="103"/>
    </row>
    <row r="107" spans="1:15" ht="13.5" customHeight="1" thickBot="1" x14ac:dyDescent="0.3">
      <c r="A107" s="99"/>
      <c r="B107" s="99"/>
      <c r="C107" s="99"/>
      <c r="D107" s="99"/>
      <c r="E107" s="99"/>
      <c r="F107" s="99"/>
      <c r="G107" s="99"/>
      <c r="I107" s="99"/>
      <c r="J107" s="99"/>
      <c r="K107" s="99"/>
      <c r="L107" s="99"/>
      <c r="M107" s="99"/>
      <c r="N107" s="99"/>
      <c r="O107" s="99"/>
    </row>
    <row r="108" spans="1:15" ht="16.5" thickBot="1" x14ac:dyDescent="0.3">
      <c r="A108" s="86"/>
      <c r="B108" s="87"/>
      <c r="C108" s="87"/>
      <c r="D108" s="87"/>
      <c r="E108" s="87"/>
      <c r="F108" s="87"/>
      <c r="G108" s="88"/>
      <c r="I108" s="86"/>
      <c r="J108" s="87"/>
      <c r="K108" s="87"/>
      <c r="L108" s="87"/>
      <c r="M108" s="87"/>
      <c r="N108" s="87"/>
      <c r="O108" s="88"/>
    </row>
    <row r="109" spans="1:15" ht="20.100000000000001" customHeight="1" thickBot="1" x14ac:dyDescent="0.3">
      <c r="A109" s="90"/>
      <c r="B109" s="503"/>
      <c r="C109" s="504"/>
      <c r="D109" s="505"/>
      <c r="E109" s="106"/>
      <c r="F109" s="136" t="s">
        <v>59</v>
      </c>
      <c r="G109" s="91"/>
      <c r="I109" s="90"/>
      <c r="J109" s="503"/>
      <c r="K109" s="504"/>
      <c r="L109" s="505"/>
      <c r="M109" s="106"/>
      <c r="N109" s="105" t="str">
        <f>F109</f>
        <v>RONDE 14</v>
      </c>
      <c r="O109" s="91"/>
    </row>
    <row r="110" spans="1:15" ht="9.75" customHeight="1" thickBot="1" x14ac:dyDescent="0.3">
      <c r="A110" s="90"/>
      <c r="B110" s="92"/>
      <c r="C110" s="92"/>
      <c r="D110" s="92"/>
      <c r="E110" s="92"/>
      <c r="F110" s="93"/>
      <c r="G110" s="91"/>
      <c r="I110" s="90"/>
      <c r="J110" s="92"/>
      <c r="K110" s="92"/>
      <c r="L110" s="92"/>
      <c r="M110" s="92"/>
      <c r="N110" s="93"/>
      <c r="O110" s="91"/>
    </row>
    <row r="111" spans="1:15" ht="20.100000000000001" customHeight="1" thickBot="1" x14ac:dyDescent="0.3">
      <c r="A111" s="94"/>
      <c r="B111" s="499" t="str">
        <f>START!B15</f>
        <v>13:45 - 14.00 uur</v>
      </c>
      <c r="C111" s="496"/>
      <c r="D111" s="496"/>
      <c r="E111" s="497"/>
      <c r="F111" s="104" t="s">
        <v>249</v>
      </c>
      <c r="G111" s="95"/>
      <c r="H111" s="96"/>
      <c r="I111" s="94"/>
      <c r="J111" s="495" t="str">
        <f>B111</f>
        <v>13:45 - 14.00 uur</v>
      </c>
      <c r="K111" s="496"/>
      <c r="L111" s="496"/>
      <c r="M111" s="497"/>
      <c r="N111" s="104" t="s">
        <v>250</v>
      </c>
      <c r="O111" s="95"/>
    </row>
    <row r="112" spans="1:15" ht="13.5" customHeight="1" thickBot="1" x14ac:dyDescent="0.3">
      <c r="A112" s="90"/>
      <c r="B112" s="97"/>
      <c r="C112" s="92"/>
      <c r="D112" s="92"/>
      <c r="E112" s="92"/>
      <c r="F112" s="98"/>
      <c r="G112" s="91"/>
      <c r="I112" s="90"/>
      <c r="J112" s="97"/>
      <c r="K112" s="92"/>
      <c r="L112" s="92"/>
      <c r="M112" s="92"/>
      <c r="N112" s="98"/>
      <c r="O112" s="91"/>
    </row>
    <row r="113" spans="1:15" s="117" customFormat="1" ht="30" customHeight="1" thickBot="1" x14ac:dyDescent="0.35">
      <c r="A113" s="113"/>
      <c r="B113" s="500" t="str">
        <f>EINDRONDE!E45</f>
        <v>De Dinkies</v>
      </c>
      <c r="C113" s="501"/>
      <c r="D113" s="502"/>
      <c r="E113" s="114"/>
      <c r="F113" s="115"/>
      <c r="G113" s="116"/>
      <c r="I113" s="113"/>
      <c r="J113" s="500" t="str">
        <f>EINDRONDE!E46</f>
        <v>TEC-BTV</v>
      </c>
      <c r="K113" s="501"/>
      <c r="L113" s="502"/>
      <c r="M113" s="114"/>
      <c r="N113" s="115"/>
      <c r="O113" s="116"/>
    </row>
    <row r="114" spans="1:15" ht="16.5" thickBot="1" x14ac:dyDescent="0.3">
      <c r="A114" s="90"/>
      <c r="B114" s="99"/>
      <c r="C114" s="99"/>
      <c r="D114" s="99"/>
      <c r="E114" s="99"/>
      <c r="F114" s="99"/>
      <c r="G114" s="91"/>
      <c r="I114" s="90"/>
      <c r="J114" s="99"/>
      <c r="K114" s="99"/>
      <c r="L114" s="99"/>
      <c r="M114" s="99"/>
      <c r="N114" s="99"/>
      <c r="O114" s="91"/>
    </row>
    <row r="115" spans="1:15" s="117" customFormat="1" ht="30" customHeight="1" thickBot="1" x14ac:dyDescent="0.35">
      <c r="A115" s="113"/>
      <c r="B115" s="500" t="str">
        <f>EINDRONDE!J45</f>
        <v>Pilsmaten</v>
      </c>
      <c r="C115" s="501"/>
      <c r="D115" s="502"/>
      <c r="E115" s="114"/>
      <c r="F115" s="115"/>
      <c r="G115" s="116"/>
      <c r="I115" s="113"/>
      <c r="J115" s="500" t="str">
        <f>EINDRONDE!J46</f>
        <v>Geuzenmiddenmeer</v>
      </c>
      <c r="K115" s="501"/>
      <c r="L115" s="502"/>
      <c r="M115" s="114"/>
      <c r="N115" s="115"/>
      <c r="O115" s="116"/>
    </row>
    <row r="116" spans="1:15" ht="12" customHeight="1" x14ac:dyDescent="0.25">
      <c r="A116" s="90"/>
      <c r="B116" s="99"/>
      <c r="C116" s="99"/>
      <c r="D116" s="99"/>
      <c r="E116" s="99"/>
      <c r="F116" s="99"/>
      <c r="G116" s="91"/>
      <c r="I116" s="90"/>
      <c r="J116" s="99"/>
      <c r="K116" s="99"/>
      <c r="L116" s="99"/>
      <c r="M116" s="99"/>
      <c r="N116" s="99"/>
      <c r="O116" s="91"/>
    </row>
    <row r="117" spans="1:15" ht="13.5" customHeight="1" x14ac:dyDescent="0.25">
      <c r="A117" s="90"/>
      <c r="B117" s="498" t="str">
        <f>B105</f>
        <v>SCOREKAART - HVC2016</v>
      </c>
      <c r="C117" s="498"/>
      <c r="D117" s="498"/>
      <c r="E117" s="498"/>
      <c r="F117" s="498"/>
      <c r="G117" s="91"/>
      <c r="I117" s="90"/>
      <c r="J117" s="498" t="str">
        <f>B105</f>
        <v>SCOREKAART - HVC2016</v>
      </c>
      <c r="K117" s="498"/>
      <c r="L117" s="498"/>
      <c r="M117" s="498"/>
      <c r="N117" s="498"/>
      <c r="O117" s="91"/>
    </row>
    <row r="118" spans="1:15" ht="11.25" customHeight="1" thickBot="1" x14ac:dyDescent="0.3">
      <c r="A118" s="101"/>
      <c r="B118" s="102"/>
      <c r="C118" s="102"/>
      <c r="D118" s="102"/>
      <c r="E118" s="102"/>
      <c r="F118" s="102"/>
      <c r="G118" s="103"/>
      <c r="I118" s="101"/>
      <c r="J118" s="102"/>
      <c r="K118" s="102"/>
      <c r="L118" s="102"/>
      <c r="M118" s="102"/>
      <c r="N118" s="102"/>
      <c r="O118" s="103"/>
    </row>
    <row r="119" spans="1:15" ht="14.1" customHeight="1" thickBot="1" x14ac:dyDescent="0.3">
      <c r="A119" s="107"/>
      <c r="B119" s="99"/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107"/>
    </row>
    <row r="120" spans="1:15" ht="16.5" customHeight="1" thickBot="1" x14ac:dyDescent="0.3">
      <c r="A120" s="86"/>
      <c r="B120" s="87"/>
      <c r="C120" s="87"/>
      <c r="D120" s="87"/>
      <c r="E120" s="87"/>
      <c r="F120" s="87"/>
      <c r="G120" s="88"/>
      <c r="I120" s="86"/>
      <c r="J120" s="87"/>
      <c r="K120" s="87"/>
      <c r="L120" s="87"/>
      <c r="M120" s="87"/>
      <c r="N120" s="87"/>
      <c r="O120" s="88"/>
    </row>
    <row r="121" spans="1:15" ht="20.100000000000001" customHeight="1" thickBot="1" x14ac:dyDescent="0.3">
      <c r="A121" s="90"/>
      <c r="B121" s="503"/>
      <c r="C121" s="504"/>
      <c r="D121" s="505"/>
      <c r="E121" s="106"/>
      <c r="F121" s="105" t="str">
        <f>F109</f>
        <v>RONDE 14</v>
      </c>
      <c r="G121" s="91"/>
      <c r="I121" s="90"/>
      <c r="J121" s="503"/>
      <c r="K121" s="504"/>
      <c r="L121" s="505"/>
      <c r="M121" s="106"/>
      <c r="N121" s="105" t="str">
        <f>F109</f>
        <v>RONDE 14</v>
      </c>
      <c r="O121" s="91"/>
    </row>
    <row r="122" spans="1:15" ht="13.5" customHeight="1" thickBot="1" x14ac:dyDescent="0.3">
      <c r="A122" s="90"/>
      <c r="B122" s="92"/>
      <c r="C122" s="92"/>
      <c r="D122" s="92"/>
      <c r="E122" s="92"/>
      <c r="F122" s="93"/>
      <c r="G122" s="91"/>
      <c r="I122" s="90"/>
      <c r="J122" s="92"/>
      <c r="K122" s="92"/>
      <c r="L122" s="92"/>
      <c r="M122" s="92"/>
      <c r="N122" s="93"/>
      <c r="O122" s="91"/>
    </row>
    <row r="123" spans="1:15" ht="20.100000000000001" customHeight="1" thickBot="1" x14ac:dyDescent="0.3">
      <c r="A123" s="94"/>
      <c r="B123" s="495" t="str">
        <f>B111</f>
        <v>13:45 - 14.00 uur</v>
      </c>
      <c r="C123" s="496"/>
      <c r="D123" s="496"/>
      <c r="E123" s="497"/>
      <c r="F123" s="104" t="s">
        <v>251</v>
      </c>
      <c r="G123" s="95"/>
      <c r="H123" s="96"/>
      <c r="I123" s="94"/>
      <c r="J123" s="495" t="str">
        <f>B123</f>
        <v>13:45 - 14.00 uur</v>
      </c>
      <c r="K123" s="496"/>
      <c r="L123" s="496"/>
      <c r="M123" s="497"/>
      <c r="N123" s="104" t="s">
        <v>252</v>
      </c>
      <c r="O123" s="95"/>
    </row>
    <row r="124" spans="1:15" ht="13.5" customHeight="1" thickBot="1" x14ac:dyDescent="0.3">
      <c r="A124" s="90"/>
      <c r="B124" s="97"/>
      <c r="C124" s="92"/>
      <c r="D124" s="92"/>
      <c r="E124" s="92"/>
      <c r="F124" s="98"/>
      <c r="G124" s="91"/>
      <c r="I124" s="90"/>
      <c r="J124" s="97"/>
      <c r="K124" s="92"/>
      <c r="L124" s="92"/>
      <c r="M124" s="92"/>
      <c r="N124" s="98"/>
      <c r="O124" s="91"/>
    </row>
    <row r="125" spans="1:15" s="117" customFormat="1" ht="30" customHeight="1" thickBot="1" x14ac:dyDescent="0.35">
      <c r="A125" s="113"/>
      <c r="B125" s="500" t="str">
        <f>EINDRONDE!E47</f>
        <v>Team Bublé</v>
      </c>
      <c r="C125" s="501"/>
      <c r="D125" s="502"/>
      <c r="E125" s="114"/>
      <c r="F125" s="115"/>
      <c r="G125" s="116"/>
      <c r="I125" s="113"/>
      <c r="J125" s="500" t="str">
        <f>EINDRONDE!E48</f>
        <v>#illuminaticonfirmed</v>
      </c>
      <c r="K125" s="501"/>
      <c r="L125" s="502"/>
      <c r="M125" s="114"/>
      <c r="N125" s="115"/>
      <c r="O125" s="116"/>
    </row>
    <row r="126" spans="1:15" ht="16.5" thickBot="1" x14ac:dyDescent="0.3">
      <c r="A126" s="90"/>
      <c r="B126" s="99"/>
      <c r="C126" s="99"/>
      <c r="D126" s="99"/>
      <c r="E126" s="99"/>
      <c r="F126" s="99"/>
      <c r="G126" s="91"/>
      <c r="I126" s="90"/>
      <c r="J126" s="99"/>
      <c r="K126" s="99"/>
      <c r="L126" s="99"/>
      <c r="M126" s="99"/>
      <c r="N126" s="99"/>
      <c r="O126" s="91"/>
    </row>
    <row r="127" spans="1:15" s="117" customFormat="1" ht="30" customHeight="1" thickBot="1" x14ac:dyDescent="0.35">
      <c r="A127" s="113"/>
      <c r="B127" s="500" t="str">
        <f>EINDRONDE!J47</f>
        <v>Scherp Online</v>
      </c>
      <c r="C127" s="501"/>
      <c r="D127" s="502"/>
      <c r="E127" s="114"/>
      <c r="F127" s="115"/>
      <c r="G127" s="116"/>
      <c r="I127" s="113"/>
      <c r="J127" s="500" t="str">
        <f>EINDRONDE!J48</f>
        <v>Sammi's Sweathearts</v>
      </c>
      <c r="K127" s="501"/>
      <c r="L127" s="502"/>
      <c r="M127" s="114"/>
      <c r="N127" s="115"/>
      <c r="O127" s="116"/>
    </row>
    <row r="128" spans="1:15" ht="12" customHeight="1" x14ac:dyDescent="0.25">
      <c r="A128" s="90"/>
      <c r="B128" s="99"/>
      <c r="C128" s="99"/>
      <c r="D128" s="99"/>
      <c r="E128" s="99"/>
      <c r="F128" s="99"/>
      <c r="G128" s="91"/>
      <c r="I128" s="90"/>
      <c r="J128" s="99"/>
      <c r="K128" s="99"/>
      <c r="L128" s="99"/>
      <c r="M128" s="99"/>
      <c r="N128" s="99"/>
      <c r="O128" s="91"/>
    </row>
    <row r="129" spans="1:15" ht="13.5" customHeight="1" x14ac:dyDescent="0.25">
      <c r="A129" s="90"/>
      <c r="B129" s="498" t="str">
        <f>B105</f>
        <v>SCOREKAART - HVC2016</v>
      </c>
      <c r="C129" s="498"/>
      <c r="D129" s="498"/>
      <c r="E129" s="498"/>
      <c r="F129" s="498"/>
      <c r="G129" s="91"/>
      <c r="I129" s="90"/>
      <c r="J129" s="498" t="str">
        <f>B105</f>
        <v>SCOREKAART - HVC2016</v>
      </c>
      <c r="K129" s="498"/>
      <c r="L129" s="498"/>
      <c r="M129" s="498"/>
      <c r="N129" s="498"/>
      <c r="O129" s="91"/>
    </row>
    <row r="130" spans="1:15" ht="12" customHeight="1" thickBot="1" x14ac:dyDescent="0.3">
      <c r="A130" s="101"/>
      <c r="B130" s="102"/>
      <c r="C130" s="102"/>
      <c r="D130" s="102"/>
      <c r="E130" s="102"/>
      <c r="F130" s="102"/>
      <c r="G130" s="103"/>
      <c r="I130" s="101"/>
      <c r="J130" s="102"/>
      <c r="K130" s="102"/>
      <c r="L130" s="102"/>
      <c r="M130" s="102"/>
      <c r="N130" s="102"/>
      <c r="O130" s="103"/>
    </row>
    <row r="131" spans="1:15" ht="14.1" customHeight="1" thickBot="1" x14ac:dyDescent="0.3">
      <c r="A131" s="107"/>
      <c r="B131" s="99"/>
      <c r="C131" s="99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107"/>
    </row>
    <row r="132" spans="1:15" ht="16.5" thickBot="1" x14ac:dyDescent="0.3">
      <c r="A132" s="86"/>
      <c r="B132" s="87"/>
      <c r="C132" s="87"/>
      <c r="D132" s="87"/>
      <c r="E132" s="87"/>
      <c r="F132" s="87"/>
      <c r="G132" s="88"/>
      <c r="I132" s="86"/>
      <c r="J132" s="87"/>
      <c r="K132" s="87"/>
      <c r="L132" s="87"/>
      <c r="M132" s="87"/>
      <c r="N132" s="87"/>
      <c r="O132" s="88"/>
    </row>
    <row r="133" spans="1:15" ht="20.100000000000001" customHeight="1" thickBot="1" x14ac:dyDescent="0.3">
      <c r="A133" s="90"/>
      <c r="B133" s="503"/>
      <c r="C133" s="504"/>
      <c r="D133" s="505"/>
      <c r="E133" s="106"/>
      <c r="F133" s="105" t="str">
        <f>F109</f>
        <v>RONDE 14</v>
      </c>
      <c r="G133" s="91"/>
      <c r="I133" s="90"/>
      <c r="J133" s="503"/>
      <c r="K133" s="504"/>
      <c r="L133" s="505"/>
      <c r="M133" s="106"/>
      <c r="N133" s="105" t="str">
        <f>F121</f>
        <v>RONDE 14</v>
      </c>
      <c r="O133" s="91"/>
    </row>
    <row r="134" spans="1:15" ht="13.5" customHeight="1" thickBot="1" x14ac:dyDescent="0.3">
      <c r="A134" s="90"/>
      <c r="B134" s="92"/>
      <c r="C134" s="92"/>
      <c r="D134" s="92"/>
      <c r="E134" s="92"/>
      <c r="F134" s="93"/>
      <c r="G134" s="91"/>
      <c r="I134" s="90"/>
      <c r="J134" s="92"/>
      <c r="K134" s="92"/>
      <c r="L134" s="92"/>
      <c r="M134" s="92"/>
      <c r="N134" s="93"/>
      <c r="O134" s="91"/>
    </row>
    <row r="135" spans="1:15" ht="20.100000000000001" customHeight="1" thickBot="1" x14ac:dyDescent="0.3">
      <c r="A135" s="94"/>
      <c r="B135" s="495" t="str">
        <f>B111</f>
        <v>13:45 - 14.00 uur</v>
      </c>
      <c r="C135" s="496"/>
      <c r="D135" s="496"/>
      <c r="E135" s="497"/>
      <c r="F135" s="104" t="s">
        <v>253</v>
      </c>
      <c r="G135" s="95"/>
      <c r="H135" s="96"/>
      <c r="I135" s="94"/>
      <c r="J135" s="495" t="str">
        <f>B111</f>
        <v>13:45 - 14.00 uur</v>
      </c>
      <c r="K135" s="496"/>
      <c r="L135" s="496"/>
      <c r="M135" s="497"/>
      <c r="N135" s="104" t="s">
        <v>254</v>
      </c>
      <c r="O135" s="95"/>
    </row>
    <row r="136" spans="1:15" ht="13.5" customHeight="1" thickBot="1" x14ac:dyDescent="0.3">
      <c r="A136" s="90"/>
      <c r="B136" s="97"/>
      <c r="C136" s="92"/>
      <c r="D136" s="92"/>
      <c r="E136" s="92"/>
      <c r="F136" s="98"/>
      <c r="G136" s="91"/>
      <c r="I136" s="90"/>
      <c r="J136" s="97"/>
      <c r="K136" s="92"/>
      <c r="L136" s="92"/>
      <c r="M136" s="92"/>
      <c r="N136" s="98"/>
      <c r="O136" s="91"/>
    </row>
    <row r="137" spans="1:15" s="117" customFormat="1" ht="30" customHeight="1" thickBot="1" x14ac:dyDescent="0.35">
      <c r="A137" s="113"/>
      <c r="B137" s="500" t="str">
        <f>EINDRONDE!E49</f>
        <v>Sporting Almere</v>
      </c>
      <c r="C137" s="501"/>
      <c r="D137" s="502"/>
      <c r="E137" s="114"/>
      <c r="F137" s="115"/>
      <c r="G137" s="116"/>
      <c r="I137" s="113"/>
      <c r="J137" s="500" t="str">
        <f>EINDRONDE!E50</f>
        <v>Patti don't shout @ me</v>
      </c>
      <c r="K137" s="501"/>
      <c r="L137" s="502"/>
      <c r="M137" s="114"/>
      <c r="N137" s="115"/>
      <c r="O137" s="116"/>
    </row>
    <row r="138" spans="1:15" ht="16.5" thickBot="1" x14ac:dyDescent="0.3">
      <c r="A138" s="90"/>
      <c r="B138" s="99"/>
      <c r="C138" s="99"/>
      <c r="D138" s="99"/>
      <c r="E138" s="99"/>
      <c r="F138" s="99"/>
      <c r="G138" s="91"/>
      <c r="I138" s="90"/>
      <c r="J138" s="99"/>
      <c r="K138" s="99"/>
      <c r="L138" s="99"/>
      <c r="M138" s="99"/>
      <c r="N138" s="99"/>
      <c r="O138" s="91"/>
    </row>
    <row r="139" spans="1:15" s="117" customFormat="1" ht="30" customHeight="1" thickBot="1" x14ac:dyDescent="0.35">
      <c r="A139" s="113"/>
      <c r="B139" s="500" t="str">
        <f>EINDRONDE!J49</f>
        <v>Correctie veld 4</v>
      </c>
      <c r="C139" s="501"/>
      <c r="D139" s="502"/>
      <c r="E139" s="114"/>
      <c r="F139" s="115"/>
      <c r="G139" s="116"/>
      <c r="I139" s="113"/>
      <c r="J139" s="500" t="str">
        <f>EINDRONDE!J50</f>
        <v>Combiwel</v>
      </c>
      <c r="K139" s="501"/>
      <c r="L139" s="502"/>
      <c r="M139" s="114"/>
      <c r="N139" s="115"/>
      <c r="O139" s="116"/>
    </row>
    <row r="140" spans="1:15" ht="12" customHeight="1" x14ac:dyDescent="0.25">
      <c r="A140" s="90"/>
      <c r="B140" s="99"/>
      <c r="C140" s="99"/>
      <c r="D140" s="99"/>
      <c r="E140" s="99"/>
      <c r="F140" s="99"/>
      <c r="G140" s="91"/>
      <c r="I140" s="90"/>
      <c r="J140" s="99"/>
      <c r="K140" s="99"/>
      <c r="L140" s="99"/>
      <c r="M140" s="99"/>
      <c r="N140" s="99"/>
      <c r="O140" s="91"/>
    </row>
    <row r="141" spans="1:15" ht="13.5" customHeight="1" x14ac:dyDescent="0.25">
      <c r="A141" s="90"/>
      <c r="B141" s="498" t="str">
        <f>B105</f>
        <v>SCOREKAART - HVC2016</v>
      </c>
      <c r="C141" s="498"/>
      <c r="D141" s="498"/>
      <c r="E141" s="498"/>
      <c r="F141" s="498"/>
      <c r="G141" s="91"/>
      <c r="I141" s="90"/>
      <c r="J141" s="498" t="str">
        <f>B105</f>
        <v>SCOREKAART - HVC2016</v>
      </c>
      <c r="K141" s="498"/>
      <c r="L141" s="498"/>
      <c r="M141" s="498"/>
      <c r="N141" s="498"/>
      <c r="O141" s="91"/>
    </row>
    <row r="142" spans="1:15" ht="12" customHeight="1" thickBot="1" x14ac:dyDescent="0.3">
      <c r="A142" s="101"/>
      <c r="B142" s="102"/>
      <c r="C142" s="102"/>
      <c r="D142" s="102"/>
      <c r="E142" s="102"/>
      <c r="F142" s="102"/>
      <c r="G142" s="103"/>
      <c r="I142" s="101"/>
      <c r="J142" s="102"/>
      <c r="K142" s="102"/>
      <c r="L142" s="102"/>
      <c r="M142" s="102"/>
      <c r="N142" s="102"/>
      <c r="O142" s="103"/>
    </row>
    <row r="143" spans="1:15" ht="16.5" thickBot="1" x14ac:dyDescent="0.3">
      <c r="A143" s="86"/>
      <c r="B143" s="87"/>
      <c r="C143" s="87"/>
      <c r="D143" s="87"/>
      <c r="E143" s="87"/>
      <c r="F143" s="87"/>
      <c r="G143" s="88"/>
      <c r="I143" s="86"/>
      <c r="J143" s="87"/>
      <c r="K143" s="87"/>
      <c r="L143" s="87"/>
      <c r="M143" s="87"/>
      <c r="N143" s="87"/>
      <c r="O143" s="88"/>
    </row>
    <row r="144" spans="1:15" ht="20.25" customHeight="1" thickBot="1" x14ac:dyDescent="0.3">
      <c r="A144" s="90"/>
      <c r="B144" s="506"/>
      <c r="C144" s="504"/>
      <c r="D144" s="505"/>
      <c r="E144" s="106"/>
      <c r="F144" s="105" t="s">
        <v>75</v>
      </c>
      <c r="G144" s="91"/>
      <c r="I144" s="90"/>
      <c r="J144" s="503"/>
      <c r="K144" s="504"/>
      <c r="L144" s="505"/>
      <c r="M144" s="106"/>
      <c r="N144" s="105" t="str">
        <f>F144</f>
        <v>RONDE 15</v>
      </c>
      <c r="O144" s="91"/>
    </row>
    <row r="145" spans="1:15" ht="9.75" customHeight="1" thickBot="1" x14ac:dyDescent="0.3">
      <c r="A145" s="90"/>
      <c r="B145" s="92"/>
      <c r="C145" s="92"/>
      <c r="D145" s="92"/>
      <c r="E145" s="92"/>
      <c r="F145" s="93"/>
      <c r="G145" s="91"/>
      <c r="I145" s="90"/>
      <c r="J145" s="92"/>
      <c r="K145" s="92"/>
      <c r="L145" s="92"/>
      <c r="M145" s="92"/>
      <c r="N145" s="93"/>
      <c r="O145" s="91"/>
    </row>
    <row r="146" spans="1:15" s="96" customFormat="1" ht="19.5" customHeight="1" thickBot="1" x14ac:dyDescent="0.3">
      <c r="A146" s="94"/>
      <c r="B146" s="499" t="str">
        <f>START!B16</f>
        <v>14:00 - 14:15 uur</v>
      </c>
      <c r="C146" s="496"/>
      <c r="D146" s="496"/>
      <c r="E146" s="497"/>
      <c r="F146" s="104" t="s">
        <v>249</v>
      </c>
      <c r="G146" s="95"/>
      <c r="I146" s="94"/>
      <c r="J146" s="495" t="str">
        <f>B146</f>
        <v>14:00 - 14:15 uur</v>
      </c>
      <c r="K146" s="496"/>
      <c r="L146" s="496"/>
      <c r="M146" s="497"/>
      <c r="N146" s="104" t="s">
        <v>250</v>
      </c>
      <c r="O146" s="95"/>
    </row>
    <row r="147" spans="1:15" ht="14.25" customHeight="1" thickBot="1" x14ac:dyDescent="0.3">
      <c r="A147" s="90"/>
      <c r="B147" s="97"/>
      <c r="C147" s="92"/>
      <c r="D147" s="92"/>
      <c r="E147" s="92"/>
      <c r="F147" s="98"/>
      <c r="G147" s="91"/>
      <c r="I147" s="90"/>
      <c r="J147" s="97"/>
      <c r="K147" s="92"/>
      <c r="L147" s="92"/>
      <c r="M147" s="92"/>
      <c r="N147" s="98"/>
      <c r="O147" s="91"/>
    </row>
    <row r="148" spans="1:15" s="117" customFormat="1" ht="30" customHeight="1" thickBot="1" x14ac:dyDescent="0.35">
      <c r="A148" s="113"/>
      <c r="B148" s="500" t="str">
        <f>EINDRONDE!E53</f>
        <v>Fortius 1 dames 35+</v>
      </c>
      <c r="C148" s="501"/>
      <c r="D148" s="502"/>
      <c r="E148" s="114"/>
      <c r="F148" s="115"/>
      <c r="G148" s="116"/>
      <c r="I148" s="113"/>
      <c r="J148" s="500" t="str">
        <f>EINDRONDE!E54</f>
        <v>AMVJ</v>
      </c>
      <c r="K148" s="501"/>
      <c r="L148" s="502"/>
      <c r="M148" s="114"/>
      <c r="N148" s="115"/>
      <c r="O148" s="116"/>
    </row>
    <row r="149" spans="1:15" ht="16.5" thickBot="1" x14ac:dyDescent="0.3">
      <c r="A149" s="90"/>
      <c r="B149" s="99"/>
      <c r="C149" s="99"/>
      <c r="D149" s="99"/>
      <c r="E149" s="99"/>
      <c r="F149" s="99"/>
      <c r="G149" s="91"/>
      <c r="I149" s="90"/>
      <c r="J149" s="99"/>
      <c r="K149" s="99"/>
      <c r="L149" s="99"/>
      <c r="M149" s="99"/>
      <c r="N149" s="99"/>
      <c r="O149" s="91"/>
    </row>
    <row r="150" spans="1:15" s="117" customFormat="1" ht="30" customHeight="1" thickBot="1" x14ac:dyDescent="0.35">
      <c r="A150" s="113"/>
      <c r="B150" s="500" t="str">
        <f>EINDRONDE!J53</f>
        <v>De Westfriesies</v>
      </c>
      <c r="C150" s="501"/>
      <c r="D150" s="502"/>
      <c r="E150" s="114"/>
      <c r="F150" s="115"/>
      <c r="G150" s="116"/>
      <c r="I150" s="113"/>
      <c r="J150" s="500" t="str">
        <f>EINDRONDE!J54</f>
        <v>About to get Messi</v>
      </c>
      <c r="K150" s="501"/>
      <c r="L150" s="502"/>
      <c r="M150" s="114"/>
      <c r="N150" s="115"/>
      <c r="O150" s="116"/>
    </row>
    <row r="151" spans="1:15" ht="12" customHeight="1" x14ac:dyDescent="0.25">
      <c r="A151" s="90"/>
      <c r="B151" s="99"/>
      <c r="C151" s="99"/>
      <c r="D151" s="99"/>
      <c r="E151" s="99"/>
      <c r="F151" s="99"/>
      <c r="G151" s="91"/>
      <c r="I151" s="90"/>
      <c r="J151" s="99"/>
      <c r="K151" s="99"/>
      <c r="L151" s="99"/>
      <c r="M151" s="99"/>
      <c r="N151" s="99"/>
      <c r="O151" s="91"/>
    </row>
    <row r="152" spans="1:15" ht="13.5" customHeight="1" x14ac:dyDescent="0.25">
      <c r="A152" s="90"/>
      <c r="B152" s="498" t="str">
        <f>B141</f>
        <v>SCOREKAART - HVC2016</v>
      </c>
      <c r="C152" s="498"/>
      <c r="D152" s="498"/>
      <c r="E152" s="498"/>
      <c r="F152" s="498"/>
      <c r="G152" s="91"/>
      <c r="I152" s="90"/>
      <c r="J152" s="498" t="str">
        <f>B152</f>
        <v>SCOREKAART - HVC2016</v>
      </c>
      <c r="K152" s="498"/>
      <c r="L152" s="498"/>
      <c r="M152" s="498"/>
      <c r="N152" s="498"/>
      <c r="O152" s="91"/>
    </row>
    <row r="153" spans="1:15" ht="11.25" customHeight="1" thickBot="1" x14ac:dyDescent="0.3">
      <c r="A153" s="101"/>
      <c r="B153" s="102"/>
      <c r="C153" s="102"/>
      <c r="D153" s="102"/>
      <c r="E153" s="102"/>
      <c r="F153" s="102"/>
      <c r="G153" s="103"/>
      <c r="I153" s="101"/>
      <c r="J153" s="102"/>
      <c r="K153" s="102"/>
      <c r="L153" s="102"/>
      <c r="M153" s="102"/>
      <c r="N153" s="102"/>
      <c r="O153" s="103"/>
    </row>
    <row r="154" spans="1:15" ht="13.5" customHeight="1" thickBot="1" x14ac:dyDescent="0.3">
      <c r="A154" s="99"/>
      <c r="B154" s="99"/>
      <c r="C154" s="99"/>
      <c r="D154" s="99"/>
      <c r="E154" s="99"/>
      <c r="F154" s="99"/>
      <c r="G154" s="99"/>
      <c r="I154" s="99"/>
      <c r="J154" s="99"/>
      <c r="K154" s="99"/>
      <c r="L154" s="99"/>
      <c r="M154" s="99"/>
      <c r="N154" s="99"/>
      <c r="O154" s="99"/>
    </row>
    <row r="155" spans="1:15" ht="16.5" thickBot="1" x14ac:dyDescent="0.3">
      <c r="A155" s="86"/>
      <c r="B155" s="87"/>
      <c r="C155" s="87"/>
      <c r="D155" s="87"/>
      <c r="E155" s="87"/>
      <c r="F155" s="87"/>
      <c r="G155" s="88"/>
      <c r="I155" s="86"/>
      <c r="J155" s="87"/>
      <c r="K155" s="87"/>
      <c r="L155" s="87"/>
      <c r="M155" s="87"/>
      <c r="N155" s="87"/>
      <c r="O155" s="88"/>
    </row>
    <row r="156" spans="1:15" ht="20.100000000000001" customHeight="1" thickBot="1" x14ac:dyDescent="0.3">
      <c r="A156" s="90"/>
      <c r="B156" s="503"/>
      <c r="C156" s="504"/>
      <c r="D156" s="505"/>
      <c r="E156" s="106"/>
      <c r="F156" s="105" t="str">
        <f>F144</f>
        <v>RONDE 15</v>
      </c>
      <c r="G156" s="91"/>
      <c r="I156" s="90"/>
      <c r="J156" s="503"/>
      <c r="K156" s="504"/>
      <c r="L156" s="505"/>
      <c r="M156" s="106"/>
      <c r="N156" s="105" t="str">
        <f>F144</f>
        <v>RONDE 15</v>
      </c>
      <c r="O156" s="91"/>
    </row>
    <row r="157" spans="1:15" ht="9.75" customHeight="1" thickBot="1" x14ac:dyDescent="0.3">
      <c r="A157" s="90"/>
      <c r="B157" s="92"/>
      <c r="C157" s="92"/>
      <c r="D157" s="92"/>
      <c r="E157" s="92"/>
      <c r="F157" s="93"/>
      <c r="G157" s="91"/>
      <c r="I157" s="90"/>
      <c r="J157" s="92"/>
      <c r="K157" s="92"/>
      <c r="L157" s="92"/>
      <c r="M157" s="92"/>
      <c r="N157" s="93"/>
      <c r="O157" s="91"/>
    </row>
    <row r="158" spans="1:15" ht="20.100000000000001" customHeight="1" thickBot="1" x14ac:dyDescent="0.3">
      <c r="A158" s="94"/>
      <c r="B158" s="495" t="str">
        <f>B146</f>
        <v>14:00 - 14:15 uur</v>
      </c>
      <c r="C158" s="496"/>
      <c r="D158" s="496"/>
      <c r="E158" s="497"/>
      <c r="F158" s="104" t="s">
        <v>251</v>
      </c>
      <c r="G158" s="95"/>
      <c r="H158" s="96"/>
      <c r="I158" s="94"/>
      <c r="J158" s="495" t="str">
        <f>B146</f>
        <v>14:00 - 14:15 uur</v>
      </c>
      <c r="K158" s="496"/>
      <c r="L158" s="496"/>
      <c r="M158" s="497"/>
      <c r="N158" s="104" t="s">
        <v>252</v>
      </c>
      <c r="O158" s="95"/>
    </row>
    <row r="159" spans="1:15" ht="13.5" customHeight="1" thickBot="1" x14ac:dyDescent="0.3">
      <c r="A159" s="90"/>
      <c r="B159" s="97"/>
      <c r="C159" s="92"/>
      <c r="D159" s="92"/>
      <c r="E159" s="92"/>
      <c r="F159" s="98"/>
      <c r="G159" s="91"/>
      <c r="I159" s="90"/>
      <c r="J159" s="97"/>
      <c r="K159" s="92"/>
      <c r="L159" s="92"/>
      <c r="M159" s="92"/>
      <c r="N159" s="98"/>
      <c r="O159" s="91"/>
    </row>
    <row r="160" spans="1:15" s="117" customFormat="1" ht="30" customHeight="1" thickBot="1" x14ac:dyDescent="0.35">
      <c r="A160" s="113"/>
      <c r="B160" s="500" t="s">
        <v>439</v>
      </c>
      <c r="C160" s="501"/>
      <c r="D160" s="502"/>
      <c r="E160" s="114"/>
      <c r="F160" s="115"/>
      <c r="G160" s="116"/>
      <c r="I160" s="113"/>
      <c r="J160" s="500" t="str">
        <f>EINDRONDE!E56</f>
        <v>Orion</v>
      </c>
      <c r="K160" s="501"/>
      <c r="L160" s="502"/>
      <c r="M160" s="114"/>
      <c r="N160" s="115"/>
      <c r="O160" s="116"/>
    </row>
    <row r="161" spans="1:15" ht="16.5" thickBot="1" x14ac:dyDescent="0.3">
      <c r="A161" s="90"/>
      <c r="B161" s="99"/>
      <c r="C161" s="99"/>
      <c r="D161" s="99"/>
      <c r="E161" s="99"/>
      <c r="F161" s="99"/>
      <c r="G161" s="91"/>
      <c r="I161" s="90"/>
      <c r="J161" s="99"/>
      <c r="K161" s="99"/>
      <c r="L161" s="99"/>
      <c r="M161" s="99"/>
      <c r="N161" s="99"/>
      <c r="O161" s="91"/>
    </row>
    <row r="162" spans="1:15" s="117" customFormat="1" ht="30" customHeight="1" thickBot="1" x14ac:dyDescent="0.35">
      <c r="A162" s="113"/>
      <c r="B162" s="500"/>
      <c r="C162" s="501"/>
      <c r="D162" s="502"/>
      <c r="E162" s="114"/>
      <c r="F162" s="115"/>
      <c r="G162" s="116"/>
      <c r="I162" s="113"/>
      <c r="J162" s="500" t="str">
        <f>EINDRONDE!J56</f>
        <v>Kampongveldert</v>
      </c>
      <c r="K162" s="501"/>
      <c r="L162" s="502"/>
      <c r="M162" s="114"/>
      <c r="N162" s="115"/>
      <c r="O162" s="116"/>
    </row>
    <row r="163" spans="1:15" ht="12" customHeight="1" x14ac:dyDescent="0.25">
      <c r="A163" s="90"/>
      <c r="B163" s="99"/>
      <c r="C163" s="99"/>
      <c r="D163" s="99"/>
      <c r="E163" s="99"/>
      <c r="F163" s="99"/>
      <c r="G163" s="91"/>
      <c r="I163" s="90"/>
      <c r="J163" s="99"/>
      <c r="K163" s="99"/>
      <c r="L163" s="99"/>
      <c r="M163" s="99"/>
      <c r="N163" s="99"/>
      <c r="O163" s="91"/>
    </row>
    <row r="164" spans="1:15" ht="13.5" customHeight="1" x14ac:dyDescent="0.25">
      <c r="A164" s="90"/>
      <c r="B164" s="498" t="str">
        <f>B152</f>
        <v>SCOREKAART - HVC2016</v>
      </c>
      <c r="C164" s="498"/>
      <c r="D164" s="498"/>
      <c r="E164" s="498"/>
      <c r="F164" s="498"/>
      <c r="G164" s="91"/>
      <c r="I164" s="90"/>
      <c r="J164" s="498" t="str">
        <f>B152</f>
        <v>SCOREKAART - HVC2016</v>
      </c>
      <c r="K164" s="498"/>
      <c r="L164" s="498"/>
      <c r="M164" s="498"/>
      <c r="N164" s="498"/>
      <c r="O164" s="91"/>
    </row>
    <row r="165" spans="1:15" ht="11.25" customHeight="1" thickBot="1" x14ac:dyDescent="0.3">
      <c r="A165" s="101"/>
      <c r="B165" s="102"/>
      <c r="C165" s="102"/>
      <c r="D165" s="102"/>
      <c r="E165" s="102"/>
      <c r="F165" s="102"/>
      <c r="G165" s="103"/>
      <c r="I165" s="101"/>
      <c r="J165" s="102"/>
      <c r="K165" s="102"/>
      <c r="L165" s="102"/>
      <c r="M165" s="102"/>
      <c r="N165" s="102"/>
      <c r="O165" s="103"/>
    </row>
    <row r="166" spans="1:15" ht="14.1" customHeight="1" thickBot="1" x14ac:dyDescent="0.3">
      <c r="A166" s="107"/>
      <c r="B166" s="99"/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107"/>
    </row>
    <row r="167" spans="1:15" ht="16.5" customHeight="1" thickBot="1" x14ac:dyDescent="0.3">
      <c r="A167" s="86"/>
      <c r="B167" s="87"/>
      <c r="C167" s="87"/>
      <c r="D167" s="87"/>
      <c r="E167" s="87"/>
      <c r="F167" s="87"/>
      <c r="G167" s="88"/>
      <c r="I167" s="86"/>
      <c r="J167" s="87"/>
      <c r="K167" s="87"/>
      <c r="L167" s="87"/>
      <c r="M167" s="87"/>
      <c r="N167" s="87"/>
      <c r="O167" s="88"/>
    </row>
    <row r="168" spans="1:15" ht="20.100000000000001" customHeight="1" thickBot="1" x14ac:dyDescent="0.3">
      <c r="A168" s="90"/>
      <c r="B168" s="503"/>
      <c r="C168" s="504"/>
      <c r="D168" s="505"/>
      <c r="E168" s="106"/>
      <c r="F168" s="105" t="str">
        <f>F144</f>
        <v>RONDE 15</v>
      </c>
      <c r="G168" s="91"/>
      <c r="I168" s="90"/>
      <c r="J168" s="503"/>
      <c r="K168" s="504"/>
      <c r="L168" s="505"/>
      <c r="M168" s="106"/>
      <c r="N168" s="105" t="str">
        <f>F144</f>
        <v>RONDE 15</v>
      </c>
      <c r="O168" s="91"/>
    </row>
    <row r="169" spans="1:15" ht="13.5" customHeight="1" thickBot="1" x14ac:dyDescent="0.3">
      <c r="A169" s="90"/>
      <c r="B169" s="92"/>
      <c r="C169" s="92"/>
      <c r="D169" s="92"/>
      <c r="E169" s="92"/>
      <c r="F169" s="93"/>
      <c r="G169" s="91"/>
      <c r="I169" s="90"/>
      <c r="J169" s="92"/>
      <c r="K169" s="92"/>
      <c r="L169" s="92"/>
      <c r="M169" s="92"/>
      <c r="N169" s="93"/>
      <c r="O169" s="91"/>
    </row>
    <row r="170" spans="1:15" ht="20.100000000000001" customHeight="1" thickBot="1" x14ac:dyDescent="0.3">
      <c r="A170" s="94"/>
      <c r="B170" s="495" t="str">
        <f>B146</f>
        <v>14:00 - 14:15 uur</v>
      </c>
      <c r="C170" s="496"/>
      <c r="D170" s="496"/>
      <c r="E170" s="497"/>
      <c r="F170" s="104" t="s">
        <v>253</v>
      </c>
      <c r="G170" s="95"/>
      <c r="H170" s="96"/>
      <c r="I170" s="94"/>
      <c r="J170" s="495" t="str">
        <f>B146</f>
        <v>14:00 - 14:15 uur</v>
      </c>
      <c r="K170" s="496"/>
      <c r="L170" s="496"/>
      <c r="M170" s="497"/>
      <c r="N170" s="104" t="s">
        <v>254</v>
      </c>
      <c r="O170" s="95"/>
    </row>
    <row r="171" spans="1:15" ht="13.5" customHeight="1" thickBot="1" x14ac:dyDescent="0.3">
      <c r="A171" s="90"/>
      <c r="B171" s="97"/>
      <c r="C171" s="92"/>
      <c r="D171" s="92"/>
      <c r="E171" s="92"/>
      <c r="F171" s="98"/>
      <c r="G171" s="91"/>
      <c r="I171" s="90"/>
      <c r="J171" s="97"/>
      <c r="K171" s="92"/>
      <c r="L171" s="92"/>
      <c r="M171" s="92"/>
      <c r="N171" s="98"/>
      <c r="O171" s="91"/>
    </row>
    <row r="172" spans="1:15" s="117" customFormat="1" ht="30" customHeight="1" thickBot="1" x14ac:dyDescent="0.35">
      <c r="A172" s="113"/>
      <c r="B172" s="500" t="str">
        <f>EINDRONDE!E57</f>
        <v xml:space="preserve">De Pintjes </v>
      </c>
      <c r="C172" s="501"/>
      <c r="D172" s="502"/>
      <c r="E172" s="114"/>
      <c r="F172" s="115"/>
      <c r="G172" s="116"/>
      <c r="I172" s="113"/>
      <c r="J172" s="500" t="str">
        <f>EINDRONDE!E58</f>
        <v>Het Bestuur</v>
      </c>
      <c r="K172" s="501"/>
      <c r="L172" s="502"/>
      <c r="M172" s="114"/>
      <c r="N172" s="115"/>
      <c r="O172" s="116"/>
    </row>
    <row r="173" spans="1:15" ht="16.5" thickBot="1" x14ac:dyDescent="0.3">
      <c r="A173" s="90"/>
      <c r="B173" s="99"/>
      <c r="C173" s="99"/>
      <c r="D173" s="99"/>
      <c r="E173" s="99"/>
      <c r="F173" s="99"/>
      <c r="G173" s="91"/>
      <c r="I173" s="90"/>
      <c r="J173" s="99"/>
      <c r="K173" s="99"/>
      <c r="L173" s="99"/>
      <c r="M173" s="99"/>
      <c r="N173" s="99"/>
      <c r="O173" s="91"/>
    </row>
    <row r="174" spans="1:15" s="117" customFormat="1" ht="30" customHeight="1" thickBot="1" x14ac:dyDescent="0.35">
      <c r="A174" s="113"/>
      <c r="B174" s="500" t="str">
        <f>EINDRONDE!J57</f>
        <v>Asvv de Schollevers</v>
      </c>
      <c r="C174" s="501"/>
      <c r="D174" s="502"/>
      <c r="E174" s="114"/>
      <c r="F174" s="115"/>
      <c r="G174" s="116"/>
      <c r="I174" s="113"/>
      <c r="J174" s="500" t="str">
        <f>EINDRONDE!J58</f>
        <v>AccentSport Rakkers</v>
      </c>
      <c r="K174" s="501"/>
      <c r="L174" s="502"/>
      <c r="M174" s="114"/>
      <c r="N174" s="115"/>
      <c r="O174" s="116"/>
    </row>
    <row r="175" spans="1:15" ht="12" customHeight="1" x14ac:dyDescent="0.25">
      <c r="A175" s="90"/>
      <c r="B175" s="99"/>
      <c r="C175" s="99"/>
      <c r="D175" s="99"/>
      <c r="E175" s="99"/>
      <c r="F175" s="99"/>
      <c r="G175" s="91"/>
      <c r="I175" s="90"/>
      <c r="J175" s="99"/>
      <c r="K175" s="99"/>
      <c r="L175" s="99"/>
      <c r="M175" s="99"/>
      <c r="N175" s="99"/>
      <c r="O175" s="91"/>
    </row>
    <row r="176" spans="1:15" ht="13.5" customHeight="1" x14ac:dyDescent="0.25">
      <c r="A176" s="90"/>
      <c r="B176" s="498" t="str">
        <f>B152</f>
        <v>SCOREKAART - HVC2016</v>
      </c>
      <c r="C176" s="498"/>
      <c r="D176" s="498"/>
      <c r="E176" s="498"/>
      <c r="F176" s="498"/>
      <c r="G176" s="91"/>
      <c r="I176" s="90"/>
      <c r="J176" s="498" t="str">
        <f>B152</f>
        <v>SCOREKAART - HVC2016</v>
      </c>
      <c r="K176" s="498"/>
      <c r="L176" s="498"/>
      <c r="M176" s="498"/>
      <c r="N176" s="498"/>
      <c r="O176" s="91"/>
    </row>
    <row r="177" spans="1:15" ht="12" customHeight="1" thickBot="1" x14ac:dyDescent="0.3">
      <c r="A177" s="101"/>
      <c r="B177" s="102"/>
      <c r="C177" s="102"/>
      <c r="D177" s="102"/>
      <c r="E177" s="102"/>
      <c r="F177" s="102"/>
      <c r="G177" s="103"/>
      <c r="I177" s="101"/>
      <c r="J177" s="102"/>
      <c r="K177" s="102"/>
      <c r="L177" s="102"/>
      <c r="M177" s="102"/>
      <c r="N177" s="102"/>
      <c r="O177" s="103"/>
    </row>
    <row r="178" spans="1:15" ht="14.1" customHeight="1" thickBot="1" x14ac:dyDescent="0.3">
      <c r="A178" s="107"/>
      <c r="B178" s="99"/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107"/>
    </row>
    <row r="179" spans="1:15" ht="16.5" thickBot="1" x14ac:dyDescent="0.3">
      <c r="A179" s="86"/>
      <c r="B179" s="87"/>
      <c r="C179" s="87"/>
      <c r="D179" s="87"/>
      <c r="E179" s="87"/>
      <c r="F179" s="87"/>
      <c r="G179" s="88"/>
      <c r="I179" s="86"/>
      <c r="J179" s="87"/>
      <c r="K179" s="87"/>
      <c r="L179" s="87"/>
      <c r="M179" s="87"/>
      <c r="N179" s="87"/>
      <c r="O179" s="88"/>
    </row>
    <row r="180" spans="1:15" ht="20.100000000000001" customHeight="1" thickBot="1" x14ac:dyDescent="0.3">
      <c r="A180" s="90"/>
      <c r="B180" s="503"/>
      <c r="C180" s="504"/>
      <c r="D180" s="505"/>
      <c r="E180" s="106"/>
      <c r="F180" s="136" t="s">
        <v>79</v>
      </c>
      <c r="G180" s="91"/>
      <c r="I180" s="90"/>
      <c r="J180" s="503"/>
      <c r="K180" s="504"/>
      <c r="L180" s="505"/>
      <c r="M180" s="106"/>
      <c r="N180" s="105" t="str">
        <f>F180</f>
        <v>RONDE 16</v>
      </c>
      <c r="O180" s="91"/>
    </row>
    <row r="181" spans="1:15" ht="13.5" customHeight="1" thickBot="1" x14ac:dyDescent="0.3">
      <c r="A181" s="90"/>
      <c r="B181" s="92"/>
      <c r="C181" s="92"/>
      <c r="D181" s="92"/>
      <c r="E181" s="92"/>
      <c r="F181" s="93"/>
      <c r="G181" s="91"/>
      <c r="I181" s="90"/>
      <c r="J181" s="92"/>
      <c r="K181" s="92"/>
      <c r="L181" s="92"/>
      <c r="M181" s="92"/>
      <c r="N181" s="93"/>
      <c r="O181" s="91"/>
    </row>
    <row r="182" spans="1:15" ht="20.100000000000001" customHeight="1" thickBot="1" x14ac:dyDescent="0.3">
      <c r="A182" s="94"/>
      <c r="B182" s="499" t="str">
        <f>START!B17</f>
        <v>14:15 - 14:30 uur</v>
      </c>
      <c r="C182" s="496"/>
      <c r="D182" s="496"/>
      <c r="E182" s="497"/>
      <c r="F182" s="104" t="s">
        <v>249</v>
      </c>
      <c r="G182" s="95"/>
      <c r="H182" s="96"/>
      <c r="I182" s="94"/>
      <c r="J182" s="499" t="str">
        <f>B182</f>
        <v>14:15 - 14:30 uur</v>
      </c>
      <c r="K182" s="496"/>
      <c r="L182" s="496"/>
      <c r="M182" s="497"/>
      <c r="N182" s="104" t="s">
        <v>250</v>
      </c>
      <c r="O182" s="95"/>
    </row>
    <row r="183" spans="1:15" ht="13.5" customHeight="1" thickBot="1" x14ac:dyDescent="0.3">
      <c r="A183" s="90"/>
      <c r="B183" s="97"/>
      <c r="C183" s="92"/>
      <c r="D183" s="92"/>
      <c r="E183" s="92"/>
      <c r="F183" s="98"/>
      <c r="G183" s="91"/>
      <c r="I183" s="90"/>
      <c r="J183" s="97"/>
      <c r="K183" s="92"/>
      <c r="L183" s="92"/>
      <c r="M183" s="92"/>
      <c r="N183" s="98"/>
      <c r="O183" s="91"/>
    </row>
    <row r="184" spans="1:15" s="117" customFormat="1" ht="30" customHeight="1" thickBot="1" x14ac:dyDescent="0.35">
      <c r="A184" s="113"/>
      <c r="B184" s="500" t="str">
        <f>EINDRONDE!T21</f>
        <v>De Ronaldozen</v>
      </c>
      <c r="C184" s="501"/>
      <c r="D184" s="502"/>
      <c r="E184" s="114"/>
      <c r="F184" s="115"/>
      <c r="G184" s="116"/>
      <c r="I184" s="113"/>
      <c r="J184" s="500" t="str">
        <f>EINDRONDE!T22</f>
        <v>Mysterieuze Missers</v>
      </c>
      <c r="K184" s="501"/>
      <c r="L184" s="502"/>
      <c r="M184" s="114"/>
      <c r="N184" s="115"/>
      <c r="O184" s="116"/>
    </row>
    <row r="185" spans="1:15" ht="16.5" thickBot="1" x14ac:dyDescent="0.3">
      <c r="A185" s="90"/>
      <c r="B185" s="99"/>
      <c r="C185" s="99"/>
      <c r="D185" s="99"/>
      <c r="E185" s="99"/>
      <c r="F185" s="99"/>
      <c r="G185" s="91"/>
      <c r="I185" s="90"/>
      <c r="J185" s="99"/>
      <c r="K185" s="99"/>
      <c r="L185" s="99"/>
      <c r="M185" s="99"/>
      <c r="N185" s="99"/>
      <c r="O185" s="91"/>
    </row>
    <row r="186" spans="1:15" s="117" customFormat="1" ht="30" customHeight="1" thickBot="1" x14ac:dyDescent="0.35">
      <c r="A186" s="113"/>
      <c r="B186" s="500" t="str">
        <f>EINDRONDE!Y21</f>
        <v>AntiLope</v>
      </c>
      <c r="C186" s="501"/>
      <c r="D186" s="502"/>
      <c r="E186" s="114"/>
      <c r="F186" s="115"/>
      <c r="G186" s="116"/>
      <c r="I186" s="113"/>
      <c r="J186" s="500" t="str">
        <f>EINDRONDE!Y22</f>
        <v>Swift Dames</v>
      </c>
      <c r="K186" s="501"/>
      <c r="L186" s="502"/>
      <c r="M186" s="114"/>
      <c r="N186" s="115"/>
      <c r="O186" s="116"/>
    </row>
    <row r="187" spans="1:15" ht="12" customHeight="1" x14ac:dyDescent="0.25">
      <c r="A187" s="90"/>
      <c r="B187" s="99"/>
      <c r="C187" s="99"/>
      <c r="D187" s="99"/>
      <c r="E187" s="99"/>
      <c r="F187" s="99"/>
      <c r="G187" s="91"/>
      <c r="I187" s="90"/>
      <c r="J187" s="99"/>
      <c r="K187" s="99"/>
      <c r="L187" s="99"/>
      <c r="M187" s="99"/>
      <c r="N187" s="99"/>
      <c r="O187" s="91"/>
    </row>
    <row r="188" spans="1:15" ht="13.5" customHeight="1" x14ac:dyDescent="0.25">
      <c r="A188" s="90"/>
      <c r="B188" s="498" t="str">
        <f>B152</f>
        <v>SCOREKAART - HVC2016</v>
      </c>
      <c r="C188" s="498"/>
      <c r="D188" s="498"/>
      <c r="E188" s="498"/>
      <c r="F188" s="498"/>
      <c r="G188" s="91"/>
      <c r="I188" s="90"/>
      <c r="J188" s="498" t="str">
        <f>B152</f>
        <v>SCOREKAART - HVC2016</v>
      </c>
      <c r="K188" s="498"/>
      <c r="L188" s="498"/>
      <c r="M188" s="498"/>
      <c r="N188" s="498"/>
      <c r="O188" s="91"/>
    </row>
    <row r="189" spans="1:15" ht="12" customHeight="1" thickBot="1" x14ac:dyDescent="0.3">
      <c r="A189" s="101"/>
      <c r="B189" s="102"/>
      <c r="C189" s="102"/>
      <c r="D189" s="102"/>
      <c r="E189" s="102"/>
      <c r="F189" s="102"/>
      <c r="G189" s="103"/>
      <c r="I189" s="101"/>
      <c r="J189" s="102"/>
      <c r="K189" s="102"/>
      <c r="L189" s="102"/>
      <c r="M189" s="102"/>
      <c r="N189" s="102"/>
      <c r="O189" s="103"/>
    </row>
    <row r="190" spans="1:15" ht="16.5" thickBot="1" x14ac:dyDescent="0.3">
      <c r="A190" s="86"/>
      <c r="B190" s="87"/>
      <c r="C190" s="87"/>
      <c r="D190" s="87"/>
      <c r="E190" s="87"/>
      <c r="F190" s="87"/>
      <c r="G190" s="88"/>
      <c r="I190" s="86"/>
      <c r="J190" s="87"/>
      <c r="K190" s="87"/>
      <c r="L190" s="87"/>
      <c r="M190" s="87"/>
      <c r="N190" s="87"/>
      <c r="O190" s="88"/>
    </row>
    <row r="191" spans="1:15" ht="20.25" customHeight="1" thickBot="1" x14ac:dyDescent="0.3">
      <c r="A191" s="90"/>
      <c r="B191" s="506"/>
      <c r="C191" s="504"/>
      <c r="D191" s="505"/>
      <c r="E191" s="106"/>
      <c r="F191" s="105" t="str">
        <f>F180</f>
        <v>RONDE 16</v>
      </c>
      <c r="G191" s="91"/>
      <c r="I191" s="90"/>
      <c r="J191" s="503"/>
      <c r="K191" s="504"/>
      <c r="L191" s="505"/>
      <c r="M191" s="106"/>
      <c r="N191" s="105" t="str">
        <f>F191</f>
        <v>RONDE 16</v>
      </c>
      <c r="O191" s="91"/>
    </row>
    <row r="192" spans="1:15" ht="9.75" customHeight="1" thickBot="1" x14ac:dyDescent="0.3">
      <c r="A192" s="90"/>
      <c r="B192" s="92"/>
      <c r="C192" s="92"/>
      <c r="D192" s="92"/>
      <c r="E192" s="92"/>
      <c r="F192" s="93"/>
      <c r="G192" s="91"/>
      <c r="I192" s="90"/>
      <c r="J192" s="92"/>
      <c r="K192" s="92"/>
      <c r="L192" s="92"/>
      <c r="M192" s="92"/>
      <c r="N192" s="93"/>
      <c r="O192" s="91"/>
    </row>
    <row r="193" spans="1:15" s="96" customFormat="1" ht="19.5" customHeight="1" thickBot="1" x14ac:dyDescent="0.3">
      <c r="A193" s="94"/>
      <c r="B193" s="499" t="str">
        <f>B182</f>
        <v>14:15 - 14:30 uur</v>
      </c>
      <c r="C193" s="496"/>
      <c r="D193" s="496"/>
      <c r="E193" s="497"/>
      <c r="F193" s="104" t="s">
        <v>251</v>
      </c>
      <c r="G193" s="95"/>
      <c r="I193" s="94"/>
      <c r="J193" s="495" t="str">
        <f>B193</f>
        <v>14:15 - 14:30 uur</v>
      </c>
      <c r="K193" s="496"/>
      <c r="L193" s="496"/>
      <c r="M193" s="497"/>
      <c r="N193" s="104" t="s">
        <v>252</v>
      </c>
      <c r="O193" s="95"/>
    </row>
    <row r="194" spans="1:15" ht="14.25" customHeight="1" thickBot="1" x14ac:dyDescent="0.3">
      <c r="A194" s="90"/>
      <c r="B194" s="97"/>
      <c r="C194" s="92"/>
      <c r="D194" s="92"/>
      <c r="E194" s="92"/>
      <c r="F194" s="98"/>
      <c r="G194" s="91"/>
      <c r="I194" s="90"/>
      <c r="J194" s="97"/>
      <c r="K194" s="92"/>
      <c r="L194" s="92"/>
      <c r="M194" s="92"/>
      <c r="N194" s="98"/>
      <c r="O194" s="91"/>
    </row>
    <row r="195" spans="1:15" s="117" customFormat="1" ht="30" customHeight="1" thickBot="1" x14ac:dyDescent="0.35">
      <c r="A195" s="113"/>
      <c r="B195" s="500" t="str">
        <f>EINDRONDE!T23</f>
        <v>Swift Zondag 11</v>
      </c>
      <c r="C195" s="501"/>
      <c r="D195" s="502"/>
      <c r="E195" s="114"/>
      <c r="F195" s="115"/>
      <c r="G195" s="116"/>
      <c r="I195" s="113"/>
      <c r="J195" s="500" t="str">
        <f>EINDRONDE!T24</f>
        <v>Vrienden van Van Essen</v>
      </c>
      <c r="K195" s="501"/>
      <c r="L195" s="502"/>
      <c r="M195" s="114"/>
      <c r="N195" s="115"/>
      <c r="O195" s="116"/>
    </row>
    <row r="196" spans="1:15" ht="16.5" thickBot="1" x14ac:dyDescent="0.3">
      <c r="A196" s="90"/>
      <c r="B196" s="99"/>
      <c r="C196" s="99"/>
      <c r="D196" s="99"/>
      <c r="E196" s="99"/>
      <c r="F196" s="99"/>
      <c r="G196" s="91"/>
      <c r="I196" s="90"/>
      <c r="J196" s="99"/>
      <c r="K196" s="99"/>
      <c r="L196" s="99"/>
      <c r="M196" s="99"/>
      <c r="N196" s="99"/>
      <c r="O196" s="91"/>
    </row>
    <row r="197" spans="1:15" s="117" customFormat="1" ht="30" customHeight="1" thickBot="1" x14ac:dyDescent="0.35">
      <c r="A197" s="113"/>
      <c r="B197" s="500" t="str">
        <f>EINDRONDE!Y23</f>
        <v>Fons Vitaeplein</v>
      </c>
      <c r="C197" s="501"/>
      <c r="D197" s="502"/>
      <c r="E197" s="114"/>
      <c r="F197" s="115"/>
      <c r="G197" s="116"/>
      <c r="I197" s="113"/>
      <c r="J197" s="500" t="str">
        <f>EINDRONDE!Y24</f>
        <v>De Flitsers 3</v>
      </c>
      <c r="K197" s="501"/>
      <c r="L197" s="502"/>
      <c r="M197" s="114"/>
      <c r="N197" s="115"/>
      <c r="O197" s="116"/>
    </row>
    <row r="198" spans="1:15" ht="12" customHeight="1" x14ac:dyDescent="0.25">
      <c r="A198" s="90"/>
      <c r="B198" s="99"/>
      <c r="C198" s="99"/>
      <c r="D198" s="99"/>
      <c r="E198" s="99"/>
      <c r="F198" s="99"/>
      <c r="G198" s="91"/>
      <c r="I198" s="90"/>
      <c r="J198" s="99"/>
      <c r="K198" s="99"/>
      <c r="L198" s="99"/>
      <c r="M198" s="99"/>
      <c r="N198" s="99"/>
      <c r="O198" s="91"/>
    </row>
    <row r="199" spans="1:15" ht="13.5" customHeight="1" x14ac:dyDescent="0.25">
      <c r="A199" s="90"/>
      <c r="B199" s="498" t="str">
        <f>B188</f>
        <v>SCOREKAART - HVC2016</v>
      </c>
      <c r="C199" s="498"/>
      <c r="D199" s="498"/>
      <c r="E199" s="498"/>
      <c r="F199" s="498"/>
      <c r="G199" s="91"/>
      <c r="I199" s="90"/>
      <c r="J199" s="498" t="str">
        <f>B199</f>
        <v>SCOREKAART - HVC2016</v>
      </c>
      <c r="K199" s="498"/>
      <c r="L199" s="498"/>
      <c r="M199" s="498"/>
      <c r="N199" s="498"/>
      <c r="O199" s="91"/>
    </row>
    <row r="200" spans="1:15" ht="11.25" customHeight="1" thickBot="1" x14ac:dyDescent="0.3">
      <c r="A200" s="101"/>
      <c r="B200" s="102"/>
      <c r="C200" s="102"/>
      <c r="D200" s="102"/>
      <c r="E200" s="102"/>
      <c r="F200" s="102"/>
      <c r="G200" s="103"/>
      <c r="I200" s="101"/>
      <c r="J200" s="102"/>
      <c r="K200" s="102"/>
      <c r="L200" s="102"/>
      <c r="M200" s="102"/>
      <c r="N200" s="102"/>
      <c r="O200" s="103"/>
    </row>
    <row r="201" spans="1:15" ht="13.5" customHeight="1" thickBot="1" x14ac:dyDescent="0.3">
      <c r="A201" s="99"/>
      <c r="B201" s="99"/>
      <c r="C201" s="99"/>
      <c r="D201" s="99"/>
      <c r="E201" s="99"/>
      <c r="F201" s="99"/>
      <c r="G201" s="99"/>
      <c r="I201" s="99"/>
      <c r="J201" s="99"/>
      <c r="K201" s="99"/>
      <c r="L201" s="99"/>
      <c r="M201" s="99"/>
      <c r="N201" s="99"/>
      <c r="O201" s="99"/>
    </row>
    <row r="202" spans="1:15" ht="16.5" thickBot="1" x14ac:dyDescent="0.3">
      <c r="A202" s="86"/>
      <c r="B202" s="87"/>
      <c r="C202" s="87"/>
      <c r="D202" s="87"/>
      <c r="E202" s="87"/>
      <c r="F202" s="87"/>
      <c r="G202" s="88"/>
      <c r="I202" s="86"/>
      <c r="J202" s="87"/>
      <c r="K202" s="87"/>
      <c r="L202" s="87"/>
      <c r="M202" s="87"/>
      <c r="N202" s="87"/>
      <c r="O202" s="88"/>
    </row>
    <row r="203" spans="1:15" ht="20.100000000000001" customHeight="1" thickBot="1" x14ac:dyDescent="0.3">
      <c r="A203" s="90"/>
      <c r="B203" s="503"/>
      <c r="C203" s="504"/>
      <c r="D203" s="505"/>
      <c r="E203" s="106"/>
      <c r="F203" s="105" t="str">
        <f>F191</f>
        <v>RONDE 16</v>
      </c>
      <c r="G203" s="91"/>
      <c r="I203" s="90"/>
      <c r="J203" s="503"/>
      <c r="K203" s="504"/>
      <c r="L203" s="505"/>
      <c r="M203" s="106"/>
      <c r="N203" s="105" t="str">
        <f>F191</f>
        <v>RONDE 16</v>
      </c>
      <c r="O203" s="91"/>
    </row>
    <row r="204" spans="1:15" ht="9.75" customHeight="1" thickBot="1" x14ac:dyDescent="0.3">
      <c r="A204" s="90"/>
      <c r="B204" s="92"/>
      <c r="C204" s="92"/>
      <c r="D204" s="92"/>
      <c r="E204" s="92"/>
      <c r="F204" s="93"/>
      <c r="G204" s="91"/>
      <c r="I204" s="90"/>
      <c r="J204" s="92"/>
      <c r="K204" s="92"/>
      <c r="L204" s="92"/>
      <c r="M204" s="92"/>
      <c r="N204" s="93"/>
      <c r="O204" s="91"/>
    </row>
    <row r="205" spans="1:15" ht="20.100000000000001" customHeight="1" thickBot="1" x14ac:dyDescent="0.3">
      <c r="A205" s="94"/>
      <c r="B205" s="495" t="str">
        <f>B193</f>
        <v>14:15 - 14:30 uur</v>
      </c>
      <c r="C205" s="496"/>
      <c r="D205" s="496"/>
      <c r="E205" s="497"/>
      <c r="F205" s="104" t="s">
        <v>253</v>
      </c>
      <c r="G205" s="95"/>
      <c r="H205" s="96"/>
      <c r="I205" s="94"/>
      <c r="J205" s="495" t="str">
        <f>B193</f>
        <v>14:15 - 14:30 uur</v>
      </c>
      <c r="K205" s="496"/>
      <c r="L205" s="496"/>
      <c r="M205" s="497"/>
      <c r="N205" s="104" t="s">
        <v>254</v>
      </c>
      <c r="O205" s="95"/>
    </row>
    <row r="206" spans="1:15" ht="13.5" customHeight="1" thickBot="1" x14ac:dyDescent="0.3">
      <c r="A206" s="90"/>
      <c r="B206" s="97"/>
      <c r="C206" s="92"/>
      <c r="D206" s="92"/>
      <c r="E206" s="92"/>
      <c r="F206" s="98"/>
      <c r="G206" s="91"/>
      <c r="I206" s="90"/>
      <c r="J206" s="97"/>
      <c r="K206" s="92"/>
      <c r="L206" s="92"/>
      <c r="M206" s="92"/>
      <c r="N206" s="98"/>
      <c r="O206" s="91"/>
    </row>
    <row r="207" spans="1:15" s="117" customFormat="1" ht="30" customHeight="1" thickBot="1" x14ac:dyDescent="0.35">
      <c r="A207" s="113"/>
      <c r="B207" s="500" t="str">
        <f>EINDRONDE!T25</f>
        <v>Jenever op de Schinkel</v>
      </c>
      <c r="C207" s="501"/>
      <c r="D207" s="502"/>
      <c r="E207" s="114"/>
      <c r="F207" s="115"/>
      <c r="G207" s="116"/>
      <c r="I207" s="113"/>
      <c r="J207" s="500" t="str">
        <f>EINDRONDE!T26</f>
        <v>Amsterdam Finest ss16</v>
      </c>
      <c r="K207" s="501"/>
      <c r="L207" s="502"/>
      <c r="M207" s="114"/>
      <c r="N207" s="115"/>
      <c r="O207" s="116"/>
    </row>
    <row r="208" spans="1:15" ht="16.5" thickBot="1" x14ac:dyDescent="0.3">
      <c r="A208" s="90"/>
      <c r="B208" s="99"/>
      <c r="C208" s="99"/>
      <c r="D208" s="99"/>
      <c r="E208" s="99"/>
      <c r="F208" s="99"/>
      <c r="G208" s="91"/>
      <c r="I208" s="90"/>
      <c r="J208" s="99"/>
      <c r="K208" s="99"/>
      <c r="L208" s="99"/>
      <c r="M208" s="99"/>
      <c r="N208" s="99"/>
      <c r="O208" s="91"/>
    </row>
    <row r="209" spans="1:15" s="117" customFormat="1" ht="30" customHeight="1" thickBot="1" x14ac:dyDescent="0.35">
      <c r="A209" s="113"/>
      <c r="B209" s="500" t="str">
        <f>EINDRONDE!Y25</f>
        <v>Om des Keijzers baerdt</v>
      </c>
      <c r="C209" s="501"/>
      <c r="D209" s="502"/>
      <c r="E209" s="114"/>
      <c r="F209" s="115"/>
      <c r="G209" s="116"/>
      <c r="I209" s="113"/>
      <c r="J209" s="500" t="str">
        <f>EINDRONDE!Y26</f>
        <v>Team Bombert</v>
      </c>
      <c r="K209" s="501"/>
      <c r="L209" s="502"/>
      <c r="M209" s="114"/>
      <c r="N209" s="115"/>
      <c r="O209" s="116"/>
    </row>
    <row r="210" spans="1:15" ht="12" customHeight="1" x14ac:dyDescent="0.25">
      <c r="A210" s="90"/>
      <c r="B210" s="99"/>
      <c r="C210" s="99"/>
      <c r="D210" s="99"/>
      <c r="E210" s="99"/>
      <c r="F210" s="99"/>
      <c r="G210" s="91"/>
      <c r="I210" s="90"/>
      <c r="J210" s="99"/>
      <c r="K210" s="99"/>
      <c r="L210" s="99"/>
      <c r="M210" s="99"/>
      <c r="N210" s="99"/>
      <c r="O210" s="91"/>
    </row>
    <row r="211" spans="1:15" ht="13.5" customHeight="1" x14ac:dyDescent="0.25">
      <c r="A211" s="90"/>
      <c r="B211" s="498" t="str">
        <f>B199</f>
        <v>SCOREKAART - HVC2016</v>
      </c>
      <c r="C211" s="498"/>
      <c r="D211" s="498"/>
      <c r="E211" s="498"/>
      <c r="F211" s="498"/>
      <c r="G211" s="91"/>
      <c r="I211" s="90"/>
      <c r="J211" s="498" t="str">
        <f>B199</f>
        <v>SCOREKAART - HVC2016</v>
      </c>
      <c r="K211" s="498"/>
      <c r="L211" s="498"/>
      <c r="M211" s="498"/>
      <c r="N211" s="498"/>
      <c r="O211" s="91"/>
    </row>
    <row r="212" spans="1:15" ht="11.25" customHeight="1" thickBot="1" x14ac:dyDescent="0.3">
      <c r="A212" s="101"/>
      <c r="B212" s="102"/>
      <c r="C212" s="102"/>
      <c r="D212" s="102"/>
      <c r="E212" s="102"/>
      <c r="F212" s="102"/>
      <c r="G212" s="103"/>
      <c r="I212" s="101"/>
      <c r="J212" s="102"/>
      <c r="K212" s="102"/>
      <c r="L212" s="102"/>
      <c r="M212" s="102"/>
      <c r="N212" s="102"/>
      <c r="O212" s="103"/>
    </row>
    <row r="213" spans="1:15" ht="14.1" customHeight="1" thickBot="1" x14ac:dyDescent="0.3">
      <c r="A213" s="107"/>
      <c r="B213" s="99"/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107"/>
    </row>
    <row r="214" spans="1:15" ht="16.5" customHeight="1" thickBot="1" x14ac:dyDescent="0.3">
      <c r="A214" s="86"/>
      <c r="B214" s="155"/>
      <c r="C214" s="87"/>
      <c r="D214" s="87"/>
      <c r="E214" s="87"/>
      <c r="F214" s="87"/>
      <c r="G214" s="88"/>
      <c r="I214" s="86"/>
      <c r="J214" s="155"/>
      <c r="K214" s="87"/>
      <c r="L214" s="87"/>
      <c r="M214" s="87"/>
      <c r="N214" s="87"/>
      <c r="O214" s="88"/>
    </row>
    <row r="215" spans="1:15" ht="20.100000000000001" customHeight="1" thickBot="1" x14ac:dyDescent="0.3">
      <c r="A215" s="90"/>
      <c r="B215" s="503"/>
      <c r="C215" s="504"/>
      <c r="D215" s="505"/>
      <c r="E215" s="106"/>
      <c r="F215" s="136" t="s">
        <v>81</v>
      </c>
      <c r="G215" s="91"/>
      <c r="I215" s="90"/>
      <c r="J215" s="503"/>
      <c r="K215" s="504"/>
      <c r="L215" s="505"/>
      <c r="M215" s="106"/>
      <c r="N215" s="105" t="str">
        <f>F215</f>
        <v>RONDE 17</v>
      </c>
      <c r="O215" s="91"/>
    </row>
    <row r="216" spans="1:15" ht="13.5" customHeight="1" thickBot="1" x14ac:dyDescent="0.3">
      <c r="A216" s="90"/>
      <c r="B216" s="92"/>
      <c r="C216" s="92"/>
      <c r="D216" s="92"/>
      <c r="E216" s="92"/>
      <c r="F216" s="93"/>
      <c r="G216" s="91"/>
      <c r="I216" s="90"/>
      <c r="J216" s="92"/>
      <c r="K216" s="92"/>
      <c r="L216" s="92"/>
      <c r="M216" s="92"/>
      <c r="N216" s="93"/>
      <c r="O216" s="91"/>
    </row>
    <row r="217" spans="1:15" ht="20.100000000000001" customHeight="1" thickBot="1" x14ac:dyDescent="0.3">
      <c r="A217" s="94"/>
      <c r="B217" s="499" t="str">
        <f>START!B18</f>
        <v>14:30 - 14:45 uur</v>
      </c>
      <c r="C217" s="496"/>
      <c r="D217" s="496"/>
      <c r="E217" s="497"/>
      <c r="F217" s="104" t="s">
        <v>249</v>
      </c>
      <c r="G217" s="95"/>
      <c r="H217" s="96"/>
      <c r="I217" s="94"/>
      <c r="J217" s="495" t="str">
        <f>B217</f>
        <v>14:30 - 14:45 uur</v>
      </c>
      <c r="K217" s="496"/>
      <c r="L217" s="496"/>
      <c r="M217" s="497"/>
      <c r="N217" s="104" t="s">
        <v>250</v>
      </c>
      <c r="O217" s="95"/>
    </row>
    <row r="218" spans="1:15" ht="13.5" customHeight="1" thickBot="1" x14ac:dyDescent="0.3">
      <c r="A218" s="90"/>
      <c r="B218" s="97"/>
      <c r="C218" s="92"/>
      <c r="D218" s="92"/>
      <c r="E218" s="92"/>
      <c r="F218" s="98"/>
      <c r="G218" s="91"/>
      <c r="I218" s="90"/>
      <c r="J218" s="97"/>
      <c r="K218" s="92"/>
      <c r="L218" s="92"/>
      <c r="M218" s="92"/>
      <c r="N218" s="98"/>
      <c r="O218" s="91"/>
    </row>
    <row r="219" spans="1:15" s="117" customFormat="1" ht="30" customHeight="1" thickBot="1" x14ac:dyDescent="0.35">
      <c r="A219" s="113"/>
      <c r="B219" s="500" t="str">
        <f>EINDRONDE!T29</f>
        <v>De Chouffjes</v>
      </c>
      <c r="C219" s="501"/>
      <c r="D219" s="502"/>
      <c r="E219" s="114"/>
      <c r="F219" s="115"/>
      <c r="G219" s="116"/>
      <c r="I219" s="113"/>
      <c r="J219" s="500" t="str">
        <f>EINDRONDE!T30</f>
        <v>RAP 2</v>
      </c>
      <c r="K219" s="501"/>
      <c r="L219" s="502"/>
      <c r="M219" s="114"/>
      <c r="N219" s="115"/>
      <c r="O219" s="116"/>
    </row>
    <row r="220" spans="1:15" ht="16.5" thickBot="1" x14ac:dyDescent="0.3">
      <c r="A220" s="151"/>
      <c r="B220" s="99"/>
      <c r="C220" s="99"/>
      <c r="D220" s="99"/>
      <c r="E220" s="99"/>
      <c r="F220" s="99"/>
      <c r="G220" s="91"/>
      <c r="I220" s="90"/>
      <c r="J220" s="99"/>
      <c r="K220" s="99"/>
      <c r="L220" s="99"/>
      <c r="M220" s="99"/>
      <c r="N220" s="99"/>
      <c r="O220" s="91"/>
    </row>
    <row r="221" spans="1:15" s="117" customFormat="1" ht="30" customHeight="1" thickBot="1" x14ac:dyDescent="0.35">
      <c r="A221" s="113"/>
      <c r="B221" s="500" t="str">
        <f>EINDRONDE!Y29</f>
        <v>De Vedettjes</v>
      </c>
      <c r="C221" s="501"/>
      <c r="D221" s="502"/>
      <c r="E221" s="114"/>
      <c r="F221" s="115"/>
      <c r="G221" s="116"/>
      <c r="I221" s="113"/>
      <c r="J221" s="500" t="str">
        <f>EINDRONDE!Y30</f>
        <v>Borrelnood</v>
      </c>
      <c r="K221" s="501"/>
      <c r="L221" s="502"/>
      <c r="M221" s="114"/>
      <c r="N221" s="115"/>
      <c r="O221" s="116"/>
    </row>
    <row r="222" spans="1:15" ht="12" customHeight="1" x14ac:dyDescent="0.25">
      <c r="A222" s="90"/>
      <c r="B222" s="99"/>
      <c r="C222" s="99"/>
      <c r="D222" s="99"/>
      <c r="E222" s="99"/>
      <c r="F222" s="99"/>
      <c r="G222" s="91"/>
      <c r="I222" s="90"/>
      <c r="J222" s="99"/>
      <c r="K222" s="99"/>
      <c r="L222" s="99"/>
      <c r="M222" s="99"/>
      <c r="N222" s="99"/>
      <c r="O222" s="91"/>
    </row>
    <row r="223" spans="1:15" ht="13.5" customHeight="1" x14ac:dyDescent="0.25">
      <c r="A223" s="90"/>
      <c r="B223" s="498" t="str">
        <f>B199</f>
        <v>SCOREKAART - HVC2016</v>
      </c>
      <c r="C223" s="498"/>
      <c r="D223" s="498"/>
      <c r="E223" s="498"/>
      <c r="F223" s="498"/>
      <c r="G223" s="91"/>
      <c r="I223" s="90"/>
      <c r="J223" s="498" t="str">
        <f>B199</f>
        <v>SCOREKAART - HVC2016</v>
      </c>
      <c r="K223" s="498"/>
      <c r="L223" s="498"/>
      <c r="M223" s="498"/>
      <c r="N223" s="498"/>
      <c r="O223" s="91"/>
    </row>
    <row r="224" spans="1:15" ht="12" customHeight="1" thickBot="1" x14ac:dyDescent="0.3">
      <c r="A224" s="101"/>
      <c r="B224" s="102"/>
      <c r="C224" s="102"/>
      <c r="D224" s="102"/>
      <c r="E224" s="102"/>
      <c r="F224" s="102"/>
      <c r="G224" s="103"/>
      <c r="I224" s="101"/>
      <c r="J224" s="102"/>
      <c r="K224" s="102"/>
      <c r="L224" s="102"/>
      <c r="M224" s="102"/>
      <c r="N224" s="102"/>
      <c r="O224" s="103"/>
    </row>
    <row r="225" spans="1:15" ht="14.1" customHeight="1" thickBot="1" x14ac:dyDescent="0.3">
      <c r="A225" s="107"/>
      <c r="B225" s="99"/>
      <c r="C225" s="99"/>
      <c r="D225" s="99"/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107"/>
    </row>
    <row r="226" spans="1:15" ht="16.5" thickBot="1" x14ac:dyDescent="0.3">
      <c r="A226" s="86"/>
      <c r="B226" s="155"/>
      <c r="C226" s="87"/>
      <c r="D226" s="87"/>
      <c r="E226" s="87"/>
      <c r="F226" s="87"/>
      <c r="G226" s="88"/>
      <c r="I226" s="86"/>
      <c r="J226" s="155"/>
      <c r="K226" s="87"/>
      <c r="L226" s="87"/>
      <c r="M226" s="87"/>
      <c r="N226" s="87"/>
      <c r="O226" s="88"/>
    </row>
    <row r="227" spans="1:15" ht="20.100000000000001" customHeight="1" thickBot="1" x14ac:dyDescent="0.3">
      <c r="A227" s="90"/>
      <c r="B227" s="503"/>
      <c r="C227" s="504"/>
      <c r="D227" s="505"/>
      <c r="E227" s="106"/>
      <c r="F227" s="105" t="str">
        <f>F215</f>
        <v>RONDE 17</v>
      </c>
      <c r="G227" s="91"/>
      <c r="I227" s="90"/>
      <c r="J227" s="503"/>
      <c r="K227" s="504"/>
      <c r="L227" s="505"/>
      <c r="M227" s="106"/>
      <c r="N227" s="105" t="str">
        <f>F215</f>
        <v>RONDE 17</v>
      </c>
      <c r="O227" s="91"/>
    </row>
    <row r="228" spans="1:15" ht="13.5" customHeight="1" thickBot="1" x14ac:dyDescent="0.3">
      <c r="A228" s="90"/>
      <c r="B228" s="92"/>
      <c r="C228" s="92"/>
      <c r="D228" s="92"/>
      <c r="E228" s="92"/>
      <c r="F228" s="93"/>
      <c r="G228" s="91"/>
      <c r="I228" s="90"/>
      <c r="J228" s="92"/>
      <c r="K228" s="92"/>
      <c r="L228" s="92"/>
      <c r="M228" s="92"/>
      <c r="N228" s="93"/>
      <c r="O228" s="91"/>
    </row>
    <row r="229" spans="1:15" ht="20.100000000000001" customHeight="1" thickBot="1" x14ac:dyDescent="0.3">
      <c r="A229" s="94"/>
      <c r="B229" s="495" t="str">
        <f>B217</f>
        <v>14:30 - 14:45 uur</v>
      </c>
      <c r="C229" s="496"/>
      <c r="D229" s="496"/>
      <c r="E229" s="497"/>
      <c r="F229" s="104" t="s">
        <v>251</v>
      </c>
      <c r="G229" s="95"/>
      <c r="H229" s="96"/>
      <c r="I229" s="94"/>
      <c r="J229" s="495" t="str">
        <f>B217</f>
        <v>14:30 - 14:45 uur</v>
      </c>
      <c r="K229" s="496"/>
      <c r="L229" s="496"/>
      <c r="M229" s="497"/>
      <c r="N229" s="104" t="s">
        <v>252</v>
      </c>
      <c r="O229" s="95"/>
    </row>
    <row r="230" spans="1:15" ht="13.5" customHeight="1" thickBot="1" x14ac:dyDescent="0.3">
      <c r="A230" s="90"/>
      <c r="B230" s="97"/>
      <c r="C230" s="92"/>
      <c r="D230" s="92"/>
      <c r="E230" s="92"/>
      <c r="F230" s="98"/>
      <c r="G230" s="91"/>
      <c r="I230" s="90"/>
      <c r="J230" s="97"/>
      <c r="K230" s="92"/>
      <c r="L230" s="92"/>
      <c r="M230" s="92"/>
      <c r="N230" s="98"/>
      <c r="O230" s="91"/>
    </row>
    <row r="231" spans="1:15" s="117" customFormat="1" ht="30" customHeight="1" thickBot="1" x14ac:dyDescent="0.35">
      <c r="A231" s="113"/>
      <c r="B231" s="500" t="str">
        <f>EINDRONDE!T31</f>
        <v>FC EPERNAY</v>
      </c>
      <c r="C231" s="501"/>
      <c r="D231" s="502"/>
      <c r="E231" s="114"/>
      <c r="F231" s="115"/>
      <c r="G231" s="116"/>
      <c r="I231" s="113"/>
      <c r="J231" s="500" t="str">
        <f>EINDRONDE!T32</f>
        <v>FC Vondelpark</v>
      </c>
      <c r="K231" s="501"/>
      <c r="L231" s="502"/>
      <c r="M231" s="114"/>
      <c r="N231" s="115"/>
      <c r="O231" s="116"/>
    </row>
    <row r="232" spans="1:15" ht="16.5" thickBot="1" x14ac:dyDescent="0.3">
      <c r="A232" s="90"/>
      <c r="B232" s="99"/>
      <c r="C232" s="99"/>
      <c r="D232" s="99"/>
      <c r="E232" s="99"/>
      <c r="F232" s="99"/>
      <c r="G232" s="91"/>
      <c r="I232" s="90"/>
      <c r="J232" s="99"/>
      <c r="K232" s="99"/>
      <c r="L232" s="99"/>
      <c r="M232" s="99"/>
      <c r="N232" s="99"/>
      <c r="O232" s="91"/>
    </row>
    <row r="233" spans="1:15" s="117" customFormat="1" ht="30" customHeight="1" thickBot="1" x14ac:dyDescent="0.35">
      <c r="A233" s="113"/>
      <c r="B233" s="500" t="str">
        <f>EINDRONDE!Y31</f>
        <v>FC Papa</v>
      </c>
      <c r="C233" s="501"/>
      <c r="D233" s="502"/>
      <c r="E233" s="114"/>
      <c r="F233" s="115"/>
      <c r="G233" s="116"/>
      <c r="I233" s="113"/>
      <c r="J233" s="500" t="str">
        <f>EINDRONDE!Y32</f>
        <v>Veddetero's klunzen</v>
      </c>
      <c r="K233" s="501"/>
      <c r="L233" s="502"/>
      <c r="M233" s="114"/>
      <c r="N233" s="115"/>
      <c r="O233" s="116"/>
    </row>
    <row r="234" spans="1:15" ht="12" customHeight="1" x14ac:dyDescent="0.25">
      <c r="A234" s="90"/>
      <c r="B234" s="99"/>
      <c r="C234" s="99"/>
      <c r="D234" s="99"/>
      <c r="E234" s="99"/>
      <c r="F234" s="99"/>
      <c r="G234" s="91"/>
      <c r="I234" s="90"/>
      <c r="J234" s="99"/>
      <c r="K234" s="99"/>
      <c r="L234" s="99"/>
      <c r="M234" s="99"/>
      <c r="N234" s="99"/>
      <c r="O234" s="91"/>
    </row>
    <row r="235" spans="1:15" ht="13.5" customHeight="1" x14ac:dyDescent="0.25">
      <c r="A235" s="90"/>
      <c r="B235" s="498" t="str">
        <f>B199</f>
        <v>SCOREKAART - HVC2016</v>
      </c>
      <c r="C235" s="498"/>
      <c r="D235" s="498"/>
      <c r="E235" s="498"/>
      <c r="F235" s="498"/>
      <c r="G235" s="91"/>
      <c r="I235" s="90"/>
      <c r="J235" s="498" t="str">
        <f>B199</f>
        <v>SCOREKAART - HVC2016</v>
      </c>
      <c r="K235" s="498"/>
      <c r="L235" s="498"/>
      <c r="M235" s="498"/>
      <c r="N235" s="498"/>
      <c r="O235" s="91"/>
    </row>
    <row r="236" spans="1:15" ht="12" customHeight="1" thickBot="1" x14ac:dyDescent="0.3">
      <c r="A236" s="101"/>
      <c r="B236" s="102"/>
      <c r="C236" s="102"/>
      <c r="D236" s="102"/>
      <c r="E236" s="102"/>
      <c r="F236" s="102"/>
      <c r="G236" s="103"/>
      <c r="I236" s="101"/>
      <c r="J236" s="102"/>
      <c r="K236" s="102"/>
      <c r="L236" s="102"/>
      <c r="M236" s="102"/>
      <c r="N236" s="102"/>
      <c r="O236" s="103"/>
    </row>
    <row r="237" spans="1:15" ht="16.5" thickBot="1" x14ac:dyDescent="0.3">
      <c r="A237" s="86"/>
      <c r="B237" s="87"/>
      <c r="C237" s="87"/>
      <c r="D237" s="87"/>
      <c r="E237" s="87"/>
      <c r="F237" s="87"/>
      <c r="G237" s="88"/>
      <c r="I237" s="86"/>
      <c r="J237" s="87"/>
      <c r="K237" s="87"/>
      <c r="L237" s="87"/>
      <c r="M237" s="87"/>
      <c r="N237" s="87"/>
      <c r="O237" s="88"/>
    </row>
    <row r="238" spans="1:15" ht="20.25" customHeight="1" thickBot="1" x14ac:dyDescent="0.3">
      <c r="A238" s="90"/>
      <c r="B238" s="506"/>
      <c r="C238" s="504"/>
      <c r="D238" s="505"/>
      <c r="E238" s="106"/>
      <c r="F238" s="105" t="str">
        <f>F215</f>
        <v>RONDE 17</v>
      </c>
      <c r="G238" s="91"/>
      <c r="I238" s="90"/>
      <c r="J238" s="503"/>
      <c r="K238" s="504"/>
      <c r="L238" s="505"/>
      <c r="M238" s="106"/>
      <c r="N238" s="105" t="str">
        <f>F238</f>
        <v>RONDE 17</v>
      </c>
      <c r="O238" s="91"/>
    </row>
    <row r="239" spans="1:15" ht="9.75" customHeight="1" thickBot="1" x14ac:dyDescent="0.3">
      <c r="A239" s="90"/>
      <c r="B239" s="92"/>
      <c r="C239" s="92"/>
      <c r="D239" s="92"/>
      <c r="E239" s="92"/>
      <c r="F239" s="93"/>
      <c r="G239" s="91"/>
      <c r="I239" s="90"/>
      <c r="J239" s="92"/>
      <c r="K239" s="92"/>
      <c r="L239" s="92"/>
      <c r="M239" s="92"/>
      <c r="N239" s="93"/>
      <c r="O239" s="91"/>
    </row>
    <row r="240" spans="1:15" s="96" customFormat="1" ht="19.5" customHeight="1" thickBot="1" x14ac:dyDescent="0.3">
      <c r="A240" s="94"/>
      <c r="B240" s="499" t="str">
        <f>B217</f>
        <v>14:30 - 14:45 uur</v>
      </c>
      <c r="C240" s="496"/>
      <c r="D240" s="496"/>
      <c r="E240" s="497"/>
      <c r="F240" s="104" t="s">
        <v>253</v>
      </c>
      <c r="G240" s="95"/>
      <c r="I240" s="94"/>
      <c r="J240" s="495" t="str">
        <f>B217</f>
        <v>14:30 - 14:45 uur</v>
      </c>
      <c r="K240" s="496"/>
      <c r="L240" s="496"/>
      <c r="M240" s="497"/>
      <c r="N240" s="104" t="s">
        <v>254</v>
      </c>
      <c r="O240" s="95"/>
    </row>
    <row r="241" spans="1:15" ht="14.25" customHeight="1" thickBot="1" x14ac:dyDescent="0.3">
      <c r="A241" s="90"/>
      <c r="B241" s="97"/>
      <c r="C241" s="92"/>
      <c r="D241" s="92"/>
      <c r="E241" s="92"/>
      <c r="F241" s="98"/>
      <c r="G241" s="91"/>
      <c r="I241" s="90"/>
      <c r="J241" s="97"/>
      <c r="K241" s="92"/>
      <c r="L241" s="92"/>
      <c r="M241" s="92"/>
      <c r="N241" s="98"/>
      <c r="O241" s="91"/>
    </row>
    <row r="242" spans="1:15" s="117" customFormat="1" ht="30" customHeight="1" thickBot="1" x14ac:dyDescent="0.35">
      <c r="A242" s="113"/>
      <c r="B242" s="500" t="str">
        <f>EINDRONDE!T33</f>
        <v>IRRIDUCIBILI</v>
      </c>
      <c r="C242" s="501"/>
      <c r="D242" s="502"/>
      <c r="E242" s="114"/>
      <c r="F242" s="115"/>
      <c r="G242" s="116"/>
      <c r="I242" s="113"/>
      <c r="J242" s="500" t="str">
        <f>EINDRONDE!T34</f>
        <v>FC Carnabal</v>
      </c>
      <c r="K242" s="501"/>
      <c r="L242" s="502"/>
      <c r="M242" s="114"/>
      <c r="N242" s="115"/>
      <c r="O242" s="116"/>
    </row>
    <row r="243" spans="1:15" ht="16.5" thickBot="1" x14ac:dyDescent="0.3">
      <c r="A243" s="90"/>
      <c r="B243" s="99"/>
      <c r="C243" s="99"/>
      <c r="D243" s="99"/>
      <c r="E243" s="99"/>
      <c r="F243" s="99"/>
      <c r="G243" s="91"/>
      <c r="I243" s="90"/>
      <c r="J243" s="99"/>
      <c r="K243" s="99"/>
      <c r="L243" s="99"/>
      <c r="M243" s="99"/>
      <c r="N243" s="99"/>
      <c r="O243" s="91"/>
    </row>
    <row r="244" spans="1:15" s="117" customFormat="1" ht="30" customHeight="1" thickBot="1" x14ac:dyDescent="0.35">
      <c r="A244" s="113"/>
      <c r="B244" s="500" t="str">
        <f>EINDRONDE!Y33</f>
        <v>MAN ON F.C</v>
      </c>
      <c r="C244" s="501"/>
      <c r="D244" s="502"/>
      <c r="E244" s="114"/>
      <c r="F244" s="115"/>
      <c r="G244" s="116"/>
      <c r="I244" s="113"/>
      <c r="J244" s="500" t="str">
        <f>EINDRONDE!Y34</f>
        <v>Monnie Represent</v>
      </c>
      <c r="K244" s="501"/>
      <c r="L244" s="502"/>
      <c r="M244" s="114"/>
      <c r="N244" s="115"/>
      <c r="O244" s="116"/>
    </row>
    <row r="245" spans="1:15" ht="12" customHeight="1" x14ac:dyDescent="0.25">
      <c r="A245" s="90"/>
      <c r="B245" s="99"/>
      <c r="C245" s="99"/>
      <c r="D245" s="99"/>
      <c r="E245" s="99"/>
      <c r="F245" s="99"/>
      <c r="G245" s="91"/>
      <c r="I245" s="90"/>
      <c r="J245" s="99"/>
      <c r="K245" s="99"/>
      <c r="L245" s="99"/>
      <c r="M245" s="99"/>
      <c r="N245" s="99"/>
      <c r="O245" s="91"/>
    </row>
    <row r="246" spans="1:15" ht="13.5" customHeight="1" x14ac:dyDescent="0.25">
      <c r="A246" s="90"/>
      <c r="B246" s="498" t="str">
        <f>B235</f>
        <v>SCOREKAART - HVC2016</v>
      </c>
      <c r="C246" s="498"/>
      <c r="D246" s="498"/>
      <c r="E246" s="498"/>
      <c r="F246" s="498"/>
      <c r="G246" s="91"/>
      <c r="I246" s="90"/>
      <c r="J246" s="498" t="str">
        <f>B246</f>
        <v>SCOREKAART - HVC2016</v>
      </c>
      <c r="K246" s="498"/>
      <c r="L246" s="498"/>
      <c r="M246" s="498"/>
      <c r="N246" s="498"/>
      <c r="O246" s="91"/>
    </row>
    <row r="247" spans="1:15" ht="11.25" customHeight="1" thickBot="1" x14ac:dyDescent="0.3">
      <c r="A247" s="101"/>
      <c r="B247" s="102"/>
      <c r="C247" s="102"/>
      <c r="D247" s="102"/>
      <c r="E247" s="102"/>
      <c r="F247" s="102"/>
      <c r="G247" s="103"/>
      <c r="I247" s="101"/>
      <c r="J247" s="102"/>
      <c r="K247" s="102"/>
      <c r="L247" s="102"/>
      <c r="M247" s="102"/>
      <c r="N247" s="102"/>
      <c r="O247" s="103"/>
    </row>
    <row r="248" spans="1:15" ht="13.5" customHeight="1" thickBot="1" x14ac:dyDescent="0.3">
      <c r="A248" s="99"/>
      <c r="B248" s="99"/>
      <c r="C248" s="99"/>
      <c r="D248" s="99"/>
      <c r="E248" s="99"/>
      <c r="F248" s="99"/>
      <c r="G248" s="99"/>
      <c r="I248" s="99"/>
      <c r="J248" s="99"/>
      <c r="K248" s="99"/>
      <c r="L248" s="99"/>
      <c r="M248" s="99"/>
      <c r="N248" s="99"/>
      <c r="O248" s="99"/>
    </row>
    <row r="249" spans="1:15" ht="16.5" thickBot="1" x14ac:dyDescent="0.3">
      <c r="A249" s="86"/>
      <c r="B249" s="87"/>
      <c r="C249" s="87"/>
      <c r="D249" s="87"/>
      <c r="E249" s="87"/>
      <c r="F249" s="87"/>
      <c r="G249" s="88"/>
      <c r="I249" s="86"/>
      <c r="J249" s="87"/>
      <c r="K249" s="87"/>
      <c r="L249" s="87"/>
      <c r="M249" s="87"/>
      <c r="N249" s="87"/>
      <c r="O249" s="88"/>
    </row>
    <row r="250" spans="1:15" ht="20.100000000000001" customHeight="1" thickBot="1" x14ac:dyDescent="0.3">
      <c r="A250" s="90"/>
      <c r="B250" s="503"/>
      <c r="C250" s="504"/>
      <c r="D250" s="505"/>
      <c r="E250" s="106"/>
      <c r="F250" s="136" t="s">
        <v>83</v>
      </c>
      <c r="G250" s="91"/>
      <c r="I250" s="90"/>
      <c r="J250" s="503"/>
      <c r="K250" s="504"/>
      <c r="L250" s="505"/>
      <c r="M250" s="106"/>
      <c r="N250" s="136" t="str">
        <f>F250</f>
        <v>RONDE 18</v>
      </c>
      <c r="O250" s="91"/>
    </row>
    <row r="251" spans="1:15" ht="9.75" customHeight="1" thickBot="1" x14ac:dyDescent="0.3">
      <c r="A251" s="90"/>
      <c r="B251" s="92"/>
      <c r="C251" s="92"/>
      <c r="D251" s="92"/>
      <c r="E251" s="92"/>
      <c r="F251" s="93"/>
      <c r="G251" s="91"/>
      <c r="I251" s="90"/>
      <c r="J251" s="92"/>
      <c r="K251" s="92"/>
      <c r="L251" s="92"/>
      <c r="M251" s="92"/>
      <c r="N251" s="93"/>
      <c r="O251" s="91"/>
    </row>
    <row r="252" spans="1:15" ht="20.100000000000001" customHeight="1" thickBot="1" x14ac:dyDescent="0.3">
      <c r="A252" s="94"/>
      <c r="B252" s="499" t="str">
        <f>START!B19</f>
        <v>14:45 - 15.00 uur</v>
      </c>
      <c r="C252" s="496"/>
      <c r="D252" s="496"/>
      <c r="E252" s="497"/>
      <c r="F252" s="104" t="s">
        <v>249</v>
      </c>
      <c r="G252" s="95"/>
      <c r="H252" s="96"/>
      <c r="I252" s="94"/>
      <c r="J252" s="499" t="str">
        <f>B252</f>
        <v>14:45 - 15.00 uur</v>
      </c>
      <c r="K252" s="496"/>
      <c r="L252" s="496"/>
      <c r="M252" s="497"/>
      <c r="N252" s="104" t="s">
        <v>250</v>
      </c>
      <c r="O252" s="95"/>
    </row>
    <row r="253" spans="1:15" ht="13.5" customHeight="1" thickBot="1" x14ac:dyDescent="0.3">
      <c r="A253" s="90"/>
      <c r="B253" s="97"/>
      <c r="C253" s="92"/>
      <c r="D253" s="92"/>
      <c r="E253" s="92"/>
      <c r="F253" s="98"/>
      <c r="G253" s="91"/>
      <c r="I253" s="90"/>
      <c r="J253" s="97"/>
      <c r="K253" s="92"/>
      <c r="L253" s="92"/>
      <c r="M253" s="92"/>
      <c r="N253" s="98"/>
      <c r="O253" s="91"/>
    </row>
    <row r="254" spans="1:15" s="117" customFormat="1" ht="30" customHeight="1" thickBot="1" x14ac:dyDescent="0.35">
      <c r="A254" s="113"/>
      <c r="B254" s="500" t="str">
        <f>EINDRONDE!T37</f>
        <v>Rap</v>
      </c>
      <c r="C254" s="501"/>
      <c r="D254" s="502"/>
      <c r="E254" s="114"/>
      <c r="F254" s="115"/>
      <c r="G254" s="116"/>
      <c r="I254" s="113"/>
      <c r="J254" s="500" t="str">
        <f>EINDRONDE!T38</f>
        <v>De Dinkies</v>
      </c>
      <c r="K254" s="501"/>
      <c r="L254" s="502"/>
      <c r="M254" s="114"/>
      <c r="N254" s="115"/>
      <c r="O254" s="116"/>
    </row>
    <row r="255" spans="1:15" ht="16.5" thickBot="1" x14ac:dyDescent="0.3">
      <c r="A255" s="90"/>
      <c r="B255" s="99"/>
      <c r="C255" s="99"/>
      <c r="D255" s="99"/>
      <c r="E255" s="99"/>
      <c r="F255" s="99"/>
      <c r="G255" s="91"/>
      <c r="I255" s="90"/>
      <c r="J255" s="99"/>
      <c r="K255" s="99"/>
      <c r="L255" s="99"/>
      <c r="M255" s="99"/>
      <c r="N255" s="99"/>
      <c r="O255" s="91"/>
    </row>
    <row r="256" spans="1:15" s="117" customFormat="1" ht="30" customHeight="1" thickBot="1" x14ac:dyDescent="0.35">
      <c r="A256" s="113"/>
      <c r="B256" s="500" t="str">
        <f>EINDRONDE!Y37</f>
        <v>Geuzenmiddenmeer</v>
      </c>
      <c r="C256" s="501"/>
      <c r="D256" s="502"/>
      <c r="E256" s="114"/>
      <c r="F256" s="115"/>
      <c r="G256" s="116"/>
      <c r="I256" s="113"/>
      <c r="J256" s="500" t="str">
        <f>EINDRONDE!Y38</f>
        <v>TEC-BTV</v>
      </c>
      <c r="K256" s="501"/>
      <c r="L256" s="502"/>
      <c r="M256" s="114"/>
      <c r="N256" s="115"/>
      <c r="O256" s="116"/>
    </row>
    <row r="257" spans="1:15" ht="12" customHeight="1" x14ac:dyDescent="0.25">
      <c r="A257" s="90"/>
      <c r="B257" s="99"/>
      <c r="C257" s="99"/>
      <c r="D257" s="99"/>
      <c r="E257" s="99"/>
      <c r="F257" s="99"/>
      <c r="G257" s="91"/>
      <c r="I257" s="90"/>
      <c r="J257" s="99"/>
      <c r="K257" s="99"/>
      <c r="L257" s="99"/>
      <c r="M257" s="99"/>
      <c r="N257" s="99"/>
      <c r="O257" s="91"/>
    </row>
    <row r="258" spans="1:15" ht="13.5" customHeight="1" x14ac:dyDescent="0.25">
      <c r="A258" s="90"/>
      <c r="B258" s="498" t="str">
        <f>B246</f>
        <v>SCOREKAART - HVC2016</v>
      </c>
      <c r="C258" s="498"/>
      <c r="D258" s="498"/>
      <c r="E258" s="498"/>
      <c r="F258" s="498"/>
      <c r="G258" s="91"/>
      <c r="I258" s="90"/>
      <c r="J258" s="498" t="str">
        <f>B246</f>
        <v>SCOREKAART - HVC2016</v>
      </c>
      <c r="K258" s="498"/>
      <c r="L258" s="498"/>
      <c r="M258" s="498"/>
      <c r="N258" s="498"/>
      <c r="O258" s="91"/>
    </row>
    <row r="259" spans="1:15" ht="11.25" customHeight="1" thickBot="1" x14ac:dyDescent="0.3">
      <c r="A259" s="101"/>
      <c r="B259" s="102"/>
      <c r="C259" s="102"/>
      <c r="D259" s="102"/>
      <c r="E259" s="102"/>
      <c r="F259" s="102"/>
      <c r="G259" s="103"/>
      <c r="I259" s="101"/>
      <c r="J259" s="102"/>
      <c r="K259" s="102"/>
      <c r="L259" s="102"/>
      <c r="M259" s="102"/>
      <c r="N259" s="102"/>
      <c r="O259" s="103"/>
    </row>
    <row r="260" spans="1:15" ht="14.1" customHeight="1" thickBot="1" x14ac:dyDescent="0.3">
      <c r="A260" s="107"/>
      <c r="B260" s="99"/>
      <c r="C260" s="99"/>
      <c r="D260" s="99"/>
      <c r="E260" s="99"/>
      <c r="F260" s="99"/>
      <c r="G260" s="99"/>
      <c r="H260" s="99"/>
      <c r="I260" s="99"/>
      <c r="J260" s="99"/>
      <c r="K260" s="99"/>
      <c r="L260" s="99"/>
      <c r="M260" s="99"/>
      <c r="N260" s="99"/>
      <c r="O260" s="107"/>
    </row>
    <row r="261" spans="1:15" ht="16.5" customHeight="1" thickBot="1" x14ac:dyDescent="0.3">
      <c r="A261" s="86"/>
      <c r="B261" s="87"/>
      <c r="C261" s="87"/>
      <c r="D261" s="87"/>
      <c r="E261" s="87"/>
      <c r="F261" s="87"/>
      <c r="G261" s="88"/>
      <c r="I261" s="86"/>
      <c r="J261" s="87"/>
      <c r="K261" s="87"/>
      <c r="L261" s="87"/>
      <c r="M261" s="87"/>
      <c r="N261" s="87"/>
      <c r="O261" s="88"/>
    </row>
    <row r="262" spans="1:15" ht="20.100000000000001" customHeight="1" thickBot="1" x14ac:dyDescent="0.3">
      <c r="A262" s="90"/>
      <c r="B262" s="503"/>
      <c r="C262" s="504"/>
      <c r="D262" s="505"/>
      <c r="E262" s="106"/>
      <c r="F262" s="136" t="str">
        <f>F250</f>
        <v>RONDE 18</v>
      </c>
      <c r="G262" s="91"/>
      <c r="I262" s="90"/>
      <c r="J262" s="503"/>
      <c r="K262" s="504"/>
      <c r="L262" s="505"/>
      <c r="M262" s="106"/>
      <c r="N262" s="136" t="str">
        <f>F250</f>
        <v>RONDE 18</v>
      </c>
      <c r="O262" s="91"/>
    </row>
    <row r="263" spans="1:15" ht="13.5" customHeight="1" thickBot="1" x14ac:dyDescent="0.3">
      <c r="A263" s="90"/>
      <c r="B263" s="92"/>
      <c r="C263" s="92"/>
      <c r="D263" s="92"/>
      <c r="E263" s="92"/>
      <c r="F263" s="93"/>
      <c r="G263" s="91"/>
      <c r="I263" s="90"/>
      <c r="J263" s="92"/>
      <c r="K263" s="92"/>
      <c r="L263" s="92"/>
      <c r="M263" s="92"/>
      <c r="N263" s="93"/>
      <c r="O263" s="91"/>
    </row>
    <row r="264" spans="1:15" ht="20.100000000000001" customHeight="1" thickBot="1" x14ac:dyDescent="0.3">
      <c r="A264" s="94"/>
      <c r="B264" s="499" t="str">
        <f>B252</f>
        <v>14:45 - 15.00 uur</v>
      </c>
      <c r="C264" s="496"/>
      <c r="D264" s="496"/>
      <c r="E264" s="497"/>
      <c r="F264" s="104" t="s">
        <v>251</v>
      </c>
      <c r="G264" s="95"/>
      <c r="H264" s="96"/>
      <c r="I264" s="94"/>
      <c r="J264" s="499" t="str">
        <f>B252</f>
        <v>14:45 - 15.00 uur</v>
      </c>
      <c r="K264" s="496"/>
      <c r="L264" s="496"/>
      <c r="M264" s="497"/>
      <c r="N264" s="104" t="s">
        <v>252</v>
      </c>
      <c r="O264" s="95"/>
    </row>
    <row r="265" spans="1:15" ht="13.5" customHeight="1" thickBot="1" x14ac:dyDescent="0.3">
      <c r="A265" s="90"/>
      <c r="B265" s="97"/>
      <c r="C265" s="92"/>
      <c r="D265" s="92"/>
      <c r="E265" s="92"/>
      <c r="F265" s="98"/>
      <c r="G265" s="91"/>
      <c r="I265" s="90"/>
      <c r="J265" s="97"/>
      <c r="K265" s="92"/>
      <c r="L265" s="92"/>
      <c r="M265" s="92"/>
      <c r="N265" s="98"/>
      <c r="O265" s="91"/>
    </row>
    <row r="266" spans="1:15" s="117" customFormat="1" ht="30" customHeight="1" thickBot="1" x14ac:dyDescent="0.35">
      <c r="A266" s="113"/>
      <c r="B266" s="500" t="str">
        <f>EINDRONDE!T39</f>
        <v>Fred Bacon Zalf-fabriekje</v>
      </c>
      <c r="C266" s="501"/>
      <c r="D266" s="502"/>
      <c r="E266" s="114"/>
      <c r="F266" s="115"/>
      <c r="G266" s="116"/>
      <c r="I266" s="113"/>
      <c r="J266" s="500" t="str">
        <f>EINDRONDE!T40</f>
        <v>Team Bublé</v>
      </c>
      <c r="K266" s="501"/>
      <c r="L266" s="502"/>
      <c r="M266" s="114"/>
      <c r="N266" s="115"/>
      <c r="O266" s="116"/>
    </row>
    <row r="267" spans="1:15" ht="16.5" thickBot="1" x14ac:dyDescent="0.3">
      <c r="A267" s="90"/>
      <c r="B267" s="99"/>
      <c r="C267" s="99"/>
      <c r="D267" s="99"/>
      <c r="E267" s="99"/>
      <c r="F267" s="99"/>
      <c r="G267" s="91"/>
      <c r="I267" s="90"/>
      <c r="J267" s="99"/>
      <c r="K267" s="99"/>
      <c r="L267" s="99"/>
      <c r="M267" s="99"/>
      <c r="N267" s="99"/>
      <c r="O267" s="91"/>
    </row>
    <row r="268" spans="1:15" s="117" customFormat="1" ht="30" customHeight="1" thickBot="1" x14ac:dyDescent="0.35">
      <c r="A268" s="113"/>
      <c r="B268" s="500" t="str">
        <f>EINDRONDE!Y39</f>
        <v>Sammi's Sweathearts</v>
      </c>
      <c r="C268" s="501"/>
      <c r="D268" s="502"/>
      <c r="E268" s="114"/>
      <c r="F268" s="115"/>
      <c r="G268" s="116"/>
      <c r="I268" s="113"/>
      <c r="J268" s="500" t="str">
        <f>EINDRONDE!Y40</f>
        <v>#illuminaticonfirmed</v>
      </c>
      <c r="K268" s="501"/>
      <c r="L268" s="502"/>
      <c r="M268" s="114"/>
      <c r="N268" s="115"/>
      <c r="O268" s="116"/>
    </row>
    <row r="269" spans="1:15" ht="12" customHeight="1" x14ac:dyDescent="0.25">
      <c r="A269" s="90"/>
      <c r="B269" s="99"/>
      <c r="C269" s="99"/>
      <c r="D269" s="99"/>
      <c r="E269" s="99"/>
      <c r="F269" s="99"/>
      <c r="G269" s="91"/>
      <c r="I269" s="90"/>
      <c r="J269" s="99"/>
      <c r="K269" s="99"/>
      <c r="L269" s="99"/>
      <c r="M269" s="99"/>
      <c r="N269" s="99"/>
      <c r="O269" s="91"/>
    </row>
    <row r="270" spans="1:15" ht="13.5" customHeight="1" x14ac:dyDescent="0.25">
      <c r="A270" s="90"/>
      <c r="B270" s="498" t="str">
        <f>B246</f>
        <v>SCOREKAART - HVC2016</v>
      </c>
      <c r="C270" s="498"/>
      <c r="D270" s="498"/>
      <c r="E270" s="498"/>
      <c r="F270" s="498"/>
      <c r="G270" s="91"/>
      <c r="I270" s="90"/>
      <c r="J270" s="498" t="str">
        <f>B246</f>
        <v>SCOREKAART - HVC2016</v>
      </c>
      <c r="K270" s="498"/>
      <c r="L270" s="498"/>
      <c r="M270" s="498"/>
      <c r="N270" s="498"/>
      <c r="O270" s="91"/>
    </row>
    <row r="271" spans="1:15" ht="12" customHeight="1" thickBot="1" x14ac:dyDescent="0.3">
      <c r="A271" s="101"/>
      <c r="B271" s="102"/>
      <c r="C271" s="102"/>
      <c r="D271" s="102"/>
      <c r="E271" s="102"/>
      <c r="F271" s="102"/>
      <c r="G271" s="103"/>
      <c r="I271" s="101"/>
      <c r="J271" s="102"/>
      <c r="K271" s="102"/>
      <c r="L271" s="102"/>
      <c r="M271" s="102"/>
      <c r="N271" s="102"/>
      <c r="O271" s="103"/>
    </row>
    <row r="272" spans="1:15" ht="14.1" customHeight="1" thickBot="1" x14ac:dyDescent="0.3">
      <c r="A272" s="107"/>
      <c r="B272" s="99"/>
      <c r="C272" s="99"/>
      <c r="D272" s="99"/>
      <c r="E272" s="99"/>
      <c r="F272" s="99"/>
      <c r="G272" s="99"/>
      <c r="H272" s="99"/>
      <c r="I272" s="99"/>
      <c r="J272" s="99"/>
      <c r="K272" s="99"/>
      <c r="L272" s="99"/>
      <c r="M272" s="99"/>
      <c r="N272" s="99"/>
      <c r="O272" s="107"/>
    </row>
    <row r="273" spans="1:15" ht="16.5" thickBot="1" x14ac:dyDescent="0.3">
      <c r="A273" s="86"/>
      <c r="B273" s="87"/>
      <c r="C273" s="87"/>
      <c r="D273" s="87"/>
      <c r="E273" s="87"/>
      <c r="F273" s="87"/>
      <c r="G273" s="88"/>
      <c r="I273" s="86"/>
      <c r="J273" s="87"/>
      <c r="K273" s="87"/>
      <c r="L273" s="87"/>
      <c r="M273" s="87"/>
      <c r="N273" s="87"/>
      <c r="O273" s="88"/>
    </row>
    <row r="274" spans="1:15" ht="20.100000000000001" customHeight="1" thickBot="1" x14ac:dyDescent="0.3">
      <c r="A274" s="90"/>
      <c r="B274" s="503"/>
      <c r="C274" s="504"/>
      <c r="D274" s="505"/>
      <c r="E274" s="106"/>
      <c r="F274" s="136" t="str">
        <f>F250</f>
        <v>RONDE 18</v>
      </c>
      <c r="G274" s="91"/>
      <c r="I274" s="90"/>
      <c r="J274" s="503"/>
      <c r="K274" s="504"/>
      <c r="L274" s="505"/>
      <c r="M274" s="106"/>
      <c r="N274" s="136" t="str">
        <f>F250</f>
        <v>RONDE 18</v>
      </c>
      <c r="O274" s="91"/>
    </row>
    <row r="275" spans="1:15" ht="13.5" customHeight="1" thickBot="1" x14ac:dyDescent="0.3">
      <c r="A275" s="90"/>
      <c r="B275" s="92"/>
      <c r="C275" s="92"/>
      <c r="D275" s="92"/>
      <c r="E275" s="92"/>
      <c r="F275" s="93"/>
      <c r="G275" s="91"/>
      <c r="I275" s="90"/>
      <c r="J275" s="92"/>
      <c r="K275" s="92"/>
      <c r="L275" s="92"/>
      <c r="M275" s="92"/>
      <c r="N275" s="93"/>
      <c r="O275" s="91"/>
    </row>
    <row r="276" spans="1:15" ht="20.100000000000001" customHeight="1" thickBot="1" x14ac:dyDescent="0.3">
      <c r="A276" s="94"/>
      <c r="B276" s="499" t="str">
        <f>B252</f>
        <v>14:45 - 15.00 uur</v>
      </c>
      <c r="C276" s="496"/>
      <c r="D276" s="496"/>
      <c r="E276" s="497"/>
      <c r="F276" s="104" t="s">
        <v>253</v>
      </c>
      <c r="G276" s="95"/>
      <c r="H276" s="96"/>
      <c r="I276" s="94"/>
      <c r="J276" s="499" t="str">
        <f>B252</f>
        <v>14:45 - 15.00 uur</v>
      </c>
      <c r="K276" s="496"/>
      <c r="L276" s="496"/>
      <c r="M276" s="497"/>
      <c r="N276" s="104" t="s">
        <v>254</v>
      </c>
      <c r="O276" s="95"/>
    </row>
    <row r="277" spans="1:15" ht="13.5" customHeight="1" thickBot="1" x14ac:dyDescent="0.3">
      <c r="A277" s="90"/>
      <c r="B277" s="97"/>
      <c r="C277" s="92"/>
      <c r="D277" s="92"/>
      <c r="E277" s="92"/>
      <c r="F277" s="98"/>
      <c r="G277" s="91"/>
      <c r="I277" s="90"/>
      <c r="J277" s="97"/>
      <c r="K277" s="92"/>
      <c r="L277" s="92"/>
      <c r="M277" s="92"/>
      <c r="N277" s="98"/>
      <c r="O277" s="91"/>
    </row>
    <row r="278" spans="1:15" s="117" customFormat="1" ht="30" customHeight="1" thickBot="1" x14ac:dyDescent="0.35">
      <c r="A278" s="113"/>
      <c r="B278" s="500" t="str">
        <f>EINDRONDE!T41</f>
        <v>Swiffie 5</v>
      </c>
      <c r="C278" s="501"/>
      <c r="D278" s="502"/>
      <c r="E278" s="114"/>
      <c r="F278" s="115"/>
      <c r="G278" s="116"/>
      <c r="I278" s="113"/>
      <c r="J278" s="500" t="str">
        <f>EINDRONDE!T42</f>
        <v>Sporting Almere</v>
      </c>
      <c r="K278" s="501"/>
      <c r="L278" s="502"/>
      <c r="M278" s="114"/>
      <c r="N278" s="115"/>
      <c r="O278" s="116"/>
    </row>
    <row r="279" spans="1:15" ht="16.5" thickBot="1" x14ac:dyDescent="0.3">
      <c r="A279" s="90"/>
      <c r="B279" s="99"/>
      <c r="C279" s="99"/>
      <c r="D279" s="99"/>
      <c r="E279" s="99"/>
      <c r="F279" s="99"/>
      <c r="G279" s="91"/>
      <c r="I279" s="90"/>
      <c r="J279" s="99"/>
      <c r="K279" s="99"/>
      <c r="L279" s="99"/>
      <c r="M279" s="99"/>
      <c r="N279" s="99"/>
      <c r="O279" s="91"/>
    </row>
    <row r="280" spans="1:15" s="117" customFormat="1" ht="30" customHeight="1" thickBot="1" x14ac:dyDescent="0.35">
      <c r="A280" s="113"/>
      <c r="B280" s="359" t="str">
        <f>EINDRONDE!Y41</f>
        <v>Combiwel</v>
      </c>
      <c r="C280" s="360"/>
      <c r="D280" s="361"/>
      <c r="E280" s="114"/>
      <c r="F280" s="115"/>
      <c r="G280" s="116"/>
      <c r="I280" s="113"/>
      <c r="J280" s="359" t="str">
        <f>EINDRONDE!Y42</f>
        <v>Patti don't shout @ me</v>
      </c>
      <c r="K280" s="360"/>
      <c r="L280" s="361"/>
      <c r="M280" s="114"/>
      <c r="N280" s="115"/>
      <c r="O280" s="116"/>
    </row>
    <row r="281" spans="1:15" ht="12" customHeight="1" x14ac:dyDescent="0.25">
      <c r="A281" s="90"/>
      <c r="B281" s="99"/>
      <c r="C281" s="99"/>
      <c r="D281" s="99"/>
      <c r="E281" s="99"/>
      <c r="F281" s="99"/>
      <c r="G281" s="91"/>
      <c r="I281" s="90"/>
      <c r="J281" s="99"/>
      <c r="K281" s="99"/>
      <c r="L281" s="99"/>
      <c r="M281" s="99"/>
      <c r="N281" s="99"/>
      <c r="O281" s="91"/>
    </row>
    <row r="282" spans="1:15" ht="13.5" customHeight="1" x14ac:dyDescent="0.25">
      <c r="A282" s="90"/>
      <c r="B282" s="498" t="str">
        <f>B246</f>
        <v>SCOREKAART - HVC2016</v>
      </c>
      <c r="C282" s="498"/>
      <c r="D282" s="498"/>
      <c r="E282" s="498"/>
      <c r="F282" s="498"/>
      <c r="G282" s="91"/>
      <c r="I282" s="90"/>
      <c r="J282" s="498" t="str">
        <f>B246</f>
        <v>SCOREKAART - HVC2016</v>
      </c>
      <c r="K282" s="498"/>
      <c r="L282" s="498"/>
      <c r="M282" s="498"/>
      <c r="N282" s="498"/>
      <c r="O282" s="91"/>
    </row>
    <row r="283" spans="1:15" ht="12" customHeight="1" thickBot="1" x14ac:dyDescent="0.3">
      <c r="A283" s="101"/>
      <c r="B283" s="102"/>
      <c r="C283" s="102"/>
      <c r="D283" s="102"/>
      <c r="E283" s="102"/>
      <c r="F283" s="102"/>
      <c r="G283" s="103"/>
      <c r="I283" s="101"/>
      <c r="J283" s="102"/>
      <c r="K283" s="102"/>
      <c r="L283" s="102"/>
      <c r="M283" s="102"/>
      <c r="N283" s="102"/>
      <c r="O283" s="103"/>
    </row>
    <row r="284" spans="1:15" ht="16.5" thickBot="1" x14ac:dyDescent="0.3">
      <c r="A284" s="86"/>
      <c r="B284" s="87"/>
      <c r="C284" s="87"/>
      <c r="D284" s="87"/>
      <c r="E284" s="87"/>
      <c r="F284" s="87"/>
      <c r="G284" s="88"/>
      <c r="I284" s="86"/>
      <c r="J284" s="87"/>
      <c r="K284" s="87"/>
      <c r="L284" s="87"/>
      <c r="M284" s="87"/>
      <c r="N284" s="87"/>
      <c r="O284" s="88"/>
    </row>
    <row r="285" spans="1:15" ht="20.25" customHeight="1" thickBot="1" x14ac:dyDescent="0.3">
      <c r="A285" s="90"/>
      <c r="B285" s="506"/>
      <c r="C285" s="504"/>
      <c r="D285" s="505"/>
      <c r="E285" s="106"/>
      <c r="F285" s="105" t="s">
        <v>58</v>
      </c>
      <c r="G285" s="91"/>
      <c r="I285" s="90"/>
      <c r="J285" s="503"/>
      <c r="K285" s="504"/>
      <c r="L285" s="505"/>
      <c r="M285" s="106"/>
      <c r="N285" s="105" t="str">
        <f>F285</f>
        <v>RONDE 19</v>
      </c>
      <c r="O285" s="91"/>
    </row>
    <row r="286" spans="1:15" ht="9.75" customHeight="1" thickBot="1" x14ac:dyDescent="0.3">
      <c r="A286" s="90"/>
      <c r="B286" s="92"/>
      <c r="C286" s="92"/>
      <c r="D286" s="92"/>
      <c r="E286" s="92"/>
      <c r="F286" s="93"/>
      <c r="G286" s="91"/>
      <c r="I286" s="90"/>
      <c r="J286" s="92"/>
      <c r="K286" s="92"/>
      <c r="L286" s="92"/>
      <c r="M286" s="92"/>
      <c r="N286" s="93"/>
      <c r="O286" s="91"/>
    </row>
    <row r="287" spans="1:15" s="96" customFormat="1" ht="19.5" customHeight="1" thickBot="1" x14ac:dyDescent="0.3">
      <c r="A287" s="94"/>
      <c r="B287" s="499" t="str">
        <f>START!B20</f>
        <v>15:00 - 15:20 uur</v>
      </c>
      <c r="C287" s="496"/>
      <c r="D287" s="496"/>
      <c r="E287" s="497"/>
      <c r="F287" s="104" t="s">
        <v>249</v>
      </c>
      <c r="G287" s="95"/>
      <c r="I287" s="94"/>
      <c r="J287" s="495" t="str">
        <f>B287</f>
        <v>15:00 - 15:20 uur</v>
      </c>
      <c r="K287" s="496"/>
      <c r="L287" s="496"/>
      <c r="M287" s="497"/>
      <c r="N287" s="104" t="s">
        <v>250</v>
      </c>
      <c r="O287" s="95"/>
    </row>
    <row r="288" spans="1:15" ht="14.25" customHeight="1" thickBot="1" x14ac:dyDescent="0.3">
      <c r="A288" s="90"/>
      <c r="B288" s="97"/>
      <c r="C288" s="92"/>
      <c r="D288" s="92"/>
      <c r="E288" s="92"/>
      <c r="F288" s="98"/>
      <c r="G288" s="91"/>
      <c r="I288" s="90"/>
      <c r="J288" s="97"/>
      <c r="K288" s="92"/>
      <c r="L288" s="92"/>
      <c r="M288" s="92"/>
      <c r="N288" s="98"/>
      <c r="O288" s="91"/>
    </row>
    <row r="289" spans="1:15" s="117" customFormat="1" ht="30" customHeight="1" thickBot="1" x14ac:dyDescent="0.35">
      <c r="A289" s="113"/>
      <c r="B289" s="359" t="str">
        <f>EINDRONDE!T45</f>
        <v>KFC zaterdag VR 35+</v>
      </c>
      <c r="C289" s="360"/>
      <c r="D289" s="361"/>
      <c r="E289" s="114"/>
      <c r="F289" s="115"/>
      <c r="G289" s="116"/>
      <c r="I289" s="113"/>
      <c r="J289" s="359" t="str">
        <f>EINDRONDE!T46</f>
        <v>Fortius 1 dames 35+</v>
      </c>
      <c r="K289" s="360"/>
      <c r="L289" s="361"/>
      <c r="M289" s="114"/>
      <c r="N289" s="115"/>
      <c r="O289" s="116"/>
    </row>
    <row r="290" spans="1:15" ht="16.5" thickBot="1" x14ac:dyDescent="0.3">
      <c r="A290" s="90"/>
      <c r="B290" s="99"/>
      <c r="C290" s="99"/>
      <c r="D290" s="99"/>
      <c r="E290" s="99"/>
      <c r="F290" s="99"/>
      <c r="G290" s="91"/>
      <c r="I290" s="90"/>
      <c r="J290" s="99"/>
      <c r="K290" s="99"/>
      <c r="L290" s="99"/>
      <c r="M290" s="99"/>
      <c r="N290" s="99"/>
      <c r="O290" s="91"/>
    </row>
    <row r="291" spans="1:15" s="117" customFormat="1" ht="30" customHeight="1" thickBot="1" x14ac:dyDescent="0.35">
      <c r="A291" s="113"/>
      <c r="B291" s="359" t="str">
        <f>EINDRONDE!Y45</f>
        <v>About to get Messi</v>
      </c>
      <c r="C291" s="360"/>
      <c r="D291" s="361"/>
      <c r="E291" s="114"/>
      <c r="F291" s="115"/>
      <c r="G291" s="116"/>
      <c r="I291" s="113"/>
      <c r="J291" s="359" t="str">
        <f>EINDRONDE!Y46</f>
        <v>AMVJ</v>
      </c>
      <c r="K291" s="360"/>
      <c r="L291" s="361"/>
      <c r="M291" s="114"/>
      <c r="N291" s="115"/>
      <c r="O291" s="116"/>
    </row>
    <row r="292" spans="1:15" ht="12" customHeight="1" x14ac:dyDescent="0.25">
      <c r="A292" s="90"/>
      <c r="C292" s="99"/>
      <c r="D292" s="99"/>
      <c r="E292" s="99"/>
      <c r="F292" s="99"/>
      <c r="G292" s="91"/>
      <c r="I292" s="90"/>
      <c r="J292" s="99"/>
      <c r="K292" s="99"/>
      <c r="L292" s="99"/>
      <c r="M292" s="99"/>
      <c r="N292" s="99"/>
      <c r="O292" s="91"/>
    </row>
    <row r="293" spans="1:15" ht="13.5" customHeight="1" x14ac:dyDescent="0.25">
      <c r="A293" s="90"/>
      <c r="B293" s="498" t="str">
        <f>B282</f>
        <v>SCOREKAART - HVC2016</v>
      </c>
      <c r="C293" s="498"/>
      <c r="D293" s="498"/>
      <c r="E293" s="498"/>
      <c r="F293" s="498"/>
      <c r="G293" s="91"/>
      <c r="I293" s="90"/>
      <c r="J293" s="498" t="str">
        <f>B293</f>
        <v>SCOREKAART - HVC2016</v>
      </c>
      <c r="K293" s="498"/>
      <c r="L293" s="498"/>
      <c r="M293" s="498"/>
      <c r="N293" s="498"/>
      <c r="O293" s="91"/>
    </row>
    <row r="294" spans="1:15" ht="11.25" customHeight="1" thickBot="1" x14ac:dyDescent="0.3">
      <c r="A294" s="101"/>
      <c r="B294" s="102"/>
      <c r="C294" s="102"/>
      <c r="D294" s="102"/>
      <c r="E294" s="102"/>
      <c r="F294" s="102"/>
      <c r="G294" s="103"/>
      <c r="I294" s="101"/>
      <c r="J294" s="102"/>
      <c r="K294" s="102"/>
      <c r="L294" s="102"/>
      <c r="M294" s="102"/>
      <c r="N294" s="102"/>
      <c r="O294" s="103"/>
    </row>
    <row r="295" spans="1:15" ht="13.5" customHeight="1" thickBot="1" x14ac:dyDescent="0.3">
      <c r="A295" s="99"/>
      <c r="B295" s="99"/>
      <c r="C295" s="99"/>
      <c r="D295" s="99"/>
      <c r="E295" s="99"/>
      <c r="F295" s="99"/>
      <c r="G295" s="99"/>
      <c r="I295" s="99"/>
      <c r="J295" s="99"/>
      <c r="K295" s="99"/>
      <c r="L295" s="99"/>
      <c r="M295" s="99"/>
      <c r="N295" s="99"/>
      <c r="O295" s="99"/>
    </row>
    <row r="296" spans="1:15" ht="16.5" thickBot="1" x14ac:dyDescent="0.3">
      <c r="A296" s="86"/>
      <c r="B296" s="87"/>
      <c r="C296" s="87"/>
      <c r="D296" s="87"/>
      <c r="E296" s="87"/>
      <c r="F296" s="87"/>
      <c r="G296" s="88"/>
      <c r="I296" s="86"/>
      <c r="J296" s="87"/>
      <c r="K296" s="87"/>
      <c r="L296" s="87"/>
      <c r="M296" s="87"/>
      <c r="N296" s="87"/>
      <c r="O296" s="88"/>
    </row>
    <row r="297" spans="1:15" ht="20.100000000000001" customHeight="1" thickBot="1" x14ac:dyDescent="0.3">
      <c r="A297" s="90"/>
      <c r="B297" s="503"/>
      <c r="C297" s="504"/>
      <c r="D297" s="505"/>
      <c r="E297" s="106"/>
      <c r="F297" s="105" t="str">
        <f>F285</f>
        <v>RONDE 19</v>
      </c>
      <c r="G297" s="91"/>
      <c r="I297" s="90"/>
      <c r="J297" s="503"/>
      <c r="K297" s="504"/>
      <c r="L297" s="505"/>
      <c r="M297" s="106"/>
      <c r="N297" s="105" t="str">
        <f>F285</f>
        <v>RONDE 19</v>
      </c>
      <c r="O297" s="91"/>
    </row>
    <row r="298" spans="1:15" ht="9.75" customHeight="1" thickBot="1" x14ac:dyDescent="0.3">
      <c r="A298" s="90"/>
      <c r="B298" s="92"/>
      <c r="C298" s="92"/>
      <c r="D298" s="92"/>
      <c r="E298" s="92"/>
      <c r="F298" s="93"/>
      <c r="G298" s="91"/>
      <c r="I298" s="90"/>
      <c r="J298" s="92"/>
      <c r="K298" s="92"/>
      <c r="L298" s="92"/>
      <c r="M298" s="92"/>
      <c r="N298" s="93"/>
      <c r="O298" s="91"/>
    </row>
    <row r="299" spans="1:15" ht="20.100000000000001" customHeight="1" thickBot="1" x14ac:dyDescent="0.3">
      <c r="A299" s="94"/>
      <c r="B299" s="495" t="str">
        <f>B287</f>
        <v>15:00 - 15:20 uur</v>
      </c>
      <c r="C299" s="496"/>
      <c r="D299" s="496"/>
      <c r="E299" s="497"/>
      <c r="F299" s="104" t="s">
        <v>251</v>
      </c>
      <c r="G299" s="95"/>
      <c r="H299" s="96"/>
      <c r="I299" s="94"/>
      <c r="J299" s="495" t="str">
        <f>B287</f>
        <v>15:00 - 15:20 uur</v>
      </c>
      <c r="K299" s="496"/>
      <c r="L299" s="496"/>
      <c r="M299" s="497"/>
      <c r="N299" s="104" t="s">
        <v>252</v>
      </c>
      <c r="O299" s="95"/>
    </row>
    <row r="300" spans="1:15" ht="13.5" customHeight="1" thickBot="1" x14ac:dyDescent="0.3">
      <c r="A300" s="90"/>
      <c r="B300" s="97"/>
      <c r="C300" s="92"/>
      <c r="D300" s="92"/>
      <c r="E300" s="92"/>
      <c r="F300" s="98"/>
      <c r="G300" s="91"/>
      <c r="I300" s="90"/>
      <c r="J300" s="97"/>
      <c r="K300" s="92"/>
      <c r="L300" s="92"/>
      <c r="M300" s="92"/>
      <c r="N300" s="98"/>
      <c r="O300" s="91"/>
    </row>
    <row r="301" spans="1:15" s="117" customFormat="1" ht="30" customHeight="1" thickBot="1" x14ac:dyDescent="0.35">
      <c r="A301" s="113"/>
      <c r="B301" s="359" t="str">
        <f>EINDRONDE!T47</f>
        <v>Wart6</v>
      </c>
      <c r="C301" s="360"/>
      <c r="D301" s="361"/>
      <c r="E301" s="114"/>
      <c r="F301" s="115"/>
      <c r="G301" s="116"/>
      <c r="I301" s="113"/>
      <c r="J301" s="359"/>
      <c r="K301" s="360"/>
      <c r="L301" s="361"/>
      <c r="M301" s="114"/>
      <c r="N301" s="115"/>
      <c r="O301" s="116"/>
    </row>
    <row r="302" spans="1:15" ht="16.5" thickBot="1" x14ac:dyDescent="0.3">
      <c r="A302" s="90"/>
      <c r="B302" s="99"/>
      <c r="C302" s="99"/>
      <c r="D302" s="99"/>
      <c r="E302" s="99"/>
      <c r="F302" s="99"/>
      <c r="G302" s="91"/>
      <c r="I302" s="90"/>
      <c r="J302" s="99"/>
      <c r="K302" s="99"/>
      <c r="L302" s="99"/>
      <c r="M302" s="99"/>
      <c r="N302" s="99"/>
      <c r="O302" s="91"/>
    </row>
    <row r="303" spans="1:15" s="117" customFormat="1" ht="30" customHeight="1" thickBot="1" x14ac:dyDescent="0.35">
      <c r="A303" s="113"/>
      <c r="B303" s="359" t="str">
        <f>EINDRONDE!Y47</f>
        <v>Kampongveldert</v>
      </c>
      <c r="C303" s="360"/>
      <c r="D303" s="361"/>
      <c r="E303" s="114"/>
      <c r="F303" s="115"/>
      <c r="G303" s="116"/>
      <c r="I303" s="113"/>
      <c r="J303" s="359"/>
      <c r="K303" s="360"/>
      <c r="L303" s="361"/>
      <c r="M303" s="114"/>
      <c r="N303" s="115"/>
      <c r="O303" s="116"/>
    </row>
    <row r="304" spans="1:15" ht="12" customHeight="1" x14ac:dyDescent="0.25">
      <c r="A304" s="90"/>
      <c r="B304" s="99"/>
      <c r="C304" s="99"/>
      <c r="D304" s="99"/>
      <c r="E304" s="99"/>
      <c r="F304" s="99"/>
      <c r="G304" s="91"/>
      <c r="I304" s="90"/>
      <c r="J304" s="99"/>
      <c r="K304" s="99"/>
      <c r="L304" s="99"/>
      <c r="M304" s="99"/>
      <c r="N304" s="99"/>
      <c r="O304" s="91"/>
    </row>
    <row r="305" spans="1:15" ht="13.5" customHeight="1" x14ac:dyDescent="0.25">
      <c r="A305" s="90"/>
      <c r="B305" s="498" t="str">
        <f>B293</f>
        <v>SCOREKAART - HVC2016</v>
      </c>
      <c r="C305" s="498"/>
      <c r="D305" s="498"/>
      <c r="E305" s="498"/>
      <c r="F305" s="498"/>
      <c r="G305" s="91"/>
      <c r="I305" s="90"/>
      <c r="J305" s="498" t="str">
        <f>B293</f>
        <v>SCOREKAART - HVC2016</v>
      </c>
      <c r="K305" s="498"/>
      <c r="L305" s="498"/>
      <c r="M305" s="498"/>
      <c r="N305" s="498"/>
      <c r="O305" s="91"/>
    </row>
    <row r="306" spans="1:15" ht="11.25" customHeight="1" thickBot="1" x14ac:dyDescent="0.3">
      <c r="A306" s="101"/>
      <c r="B306" s="102"/>
      <c r="C306" s="102"/>
      <c r="D306" s="102"/>
      <c r="E306" s="102"/>
      <c r="F306" s="102"/>
      <c r="G306" s="103"/>
      <c r="I306" s="101"/>
      <c r="J306" s="102"/>
      <c r="K306" s="102"/>
      <c r="L306" s="102"/>
      <c r="M306" s="102"/>
      <c r="N306" s="102"/>
      <c r="O306" s="103"/>
    </row>
    <row r="307" spans="1:15" ht="14.1" customHeight="1" thickBot="1" x14ac:dyDescent="0.3">
      <c r="A307" s="107"/>
      <c r="B307" s="99"/>
      <c r="C307" s="99"/>
      <c r="D307" s="99"/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107"/>
    </row>
    <row r="308" spans="1:15" ht="16.5" customHeight="1" thickBot="1" x14ac:dyDescent="0.3">
      <c r="A308" s="86"/>
      <c r="B308" s="87"/>
      <c r="C308" s="87"/>
      <c r="D308" s="87"/>
      <c r="E308" s="87"/>
      <c r="F308" s="87"/>
      <c r="G308" s="88"/>
      <c r="I308" s="86"/>
      <c r="J308" s="87"/>
      <c r="K308" s="87"/>
      <c r="L308" s="87"/>
      <c r="M308" s="87"/>
      <c r="N308" s="87"/>
      <c r="O308" s="88"/>
    </row>
    <row r="309" spans="1:15" ht="20.100000000000001" customHeight="1" thickBot="1" x14ac:dyDescent="0.3">
      <c r="A309" s="90"/>
      <c r="B309" s="503"/>
      <c r="C309" s="504"/>
      <c r="D309" s="505"/>
      <c r="E309" s="106"/>
      <c r="F309" s="105" t="str">
        <f>F285</f>
        <v>RONDE 19</v>
      </c>
      <c r="G309" s="91"/>
      <c r="I309" s="90"/>
      <c r="J309" s="503"/>
      <c r="K309" s="504"/>
      <c r="L309" s="505"/>
      <c r="M309" s="106"/>
      <c r="N309" s="105" t="str">
        <f>F285</f>
        <v>RONDE 19</v>
      </c>
      <c r="O309" s="91"/>
    </row>
    <row r="310" spans="1:15" ht="13.5" customHeight="1" thickBot="1" x14ac:dyDescent="0.3">
      <c r="A310" s="90"/>
      <c r="B310" s="92"/>
      <c r="C310" s="92"/>
      <c r="D310" s="92"/>
      <c r="E310" s="92"/>
      <c r="F310" s="93"/>
      <c r="G310" s="91"/>
      <c r="I310" s="90"/>
      <c r="J310" s="92"/>
      <c r="K310" s="92"/>
      <c r="L310" s="92"/>
      <c r="M310" s="92"/>
      <c r="N310" s="93"/>
      <c r="O310" s="91"/>
    </row>
    <row r="311" spans="1:15" ht="20.100000000000001" customHeight="1" thickBot="1" x14ac:dyDescent="0.3">
      <c r="A311" s="94"/>
      <c r="B311" s="495" t="str">
        <f>B287</f>
        <v>15:00 - 15:20 uur</v>
      </c>
      <c r="C311" s="496"/>
      <c r="D311" s="496"/>
      <c r="E311" s="497"/>
      <c r="F311" s="104" t="s">
        <v>253</v>
      </c>
      <c r="G311" s="95"/>
      <c r="H311" s="96"/>
      <c r="I311" s="94"/>
      <c r="J311" s="495" t="str">
        <f>B287</f>
        <v>15:00 - 15:20 uur</v>
      </c>
      <c r="K311" s="496"/>
      <c r="L311" s="496"/>
      <c r="M311" s="497"/>
      <c r="N311" s="104" t="s">
        <v>254</v>
      </c>
      <c r="O311" s="95"/>
    </row>
    <row r="312" spans="1:15" ht="13.5" customHeight="1" thickBot="1" x14ac:dyDescent="0.3">
      <c r="A312" s="90"/>
      <c r="B312" s="97"/>
      <c r="C312" s="92"/>
      <c r="D312" s="92"/>
      <c r="E312" s="92"/>
      <c r="F312" s="98"/>
      <c r="G312" s="91"/>
      <c r="I312" s="90"/>
      <c r="J312" s="97"/>
      <c r="K312" s="92"/>
      <c r="L312" s="92"/>
      <c r="M312" s="92"/>
      <c r="N312" s="98"/>
      <c r="O312" s="91"/>
    </row>
    <row r="313" spans="1:15" s="117" customFormat="1" ht="30" customHeight="1" thickBot="1" x14ac:dyDescent="0.35">
      <c r="A313" s="113"/>
      <c r="B313" s="359"/>
      <c r="C313" s="360"/>
      <c r="D313" s="361"/>
      <c r="E313" s="114"/>
      <c r="F313" s="115"/>
      <c r="G313" s="116"/>
      <c r="I313" s="113"/>
      <c r="J313" s="359"/>
      <c r="K313" s="360"/>
      <c r="L313" s="361"/>
      <c r="M313" s="114"/>
      <c r="N313" s="115"/>
      <c r="O313" s="116"/>
    </row>
    <row r="314" spans="1:15" ht="16.5" thickBot="1" x14ac:dyDescent="0.3">
      <c r="A314" s="90"/>
      <c r="B314" s="99"/>
      <c r="C314" s="99"/>
      <c r="D314" s="99"/>
      <c r="E314" s="99"/>
      <c r="F314" s="99"/>
      <c r="G314" s="91"/>
      <c r="I314" s="90"/>
      <c r="J314" s="99"/>
      <c r="K314" s="99"/>
      <c r="L314" s="99"/>
      <c r="M314" s="99"/>
      <c r="N314" s="99"/>
      <c r="O314" s="91"/>
    </row>
    <row r="315" spans="1:15" s="117" customFormat="1" ht="30" customHeight="1" thickBot="1" x14ac:dyDescent="0.35">
      <c r="A315" s="113"/>
      <c r="B315" s="359"/>
      <c r="C315" s="360"/>
      <c r="D315" s="361"/>
      <c r="E315" s="114"/>
      <c r="F315" s="115"/>
      <c r="G315" s="116"/>
      <c r="I315" s="113"/>
      <c r="J315" s="359"/>
      <c r="K315" s="360"/>
      <c r="L315" s="361"/>
      <c r="M315" s="114"/>
      <c r="N315" s="115"/>
      <c r="O315" s="116"/>
    </row>
    <row r="316" spans="1:15" ht="12" customHeight="1" x14ac:dyDescent="0.25">
      <c r="A316" s="90"/>
      <c r="B316" s="99"/>
      <c r="C316" s="99"/>
      <c r="D316" s="99"/>
      <c r="E316" s="99"/>
      <c r="F316" s="99"/>
      <c r="G316" s="91"/>
      <c r="I316" s="90"/>
      <c r="J316" s="99"/>
      <c r="K316" s="99"/>
      <c r="L316" s="99"/>
      <c r="M316" s="99"/>
      <c r="N316" s="99"/>
      <c r="O316" s="91"/>
    </row>
    <row r="317" spans="1:15" ht="13.5" customHeight="1" x14ac:dyDescent="0.25">
      <c r="A317" s="90"/>
      <c r="B317" s="498" t="str">
        <f>B293</f>
        <v>SCOREKAART - HVC2016</v>
      </c>
      <c r="C317" s="498"/>
      <c r="D317" s="498"/>
      <c r="E317" s="498"/>
      <c r="F317" s="498"/>
      <c r="G317" s="91"/>
      <c r="I317" s="90"/>
      <c r="J317" s="498" t="str">
        <f>B293</f>
        <v>SCOREKAART - HVC2016</v>
      </c>
      <c r="K317" s="498"/>
      <c r="L317" s="498"/>
      <c r="M317" s="498"/>
      <c r="N317" s="498"/>
      <c r="O317" s="91"/>
    </row>
    <row r="318" spans="1:15" ht="12" customHeight="1" thickBot="1" x14ac:dyDescent="0.3">
      <c r="A318" s="101"/>
      <c r="B318" s="102"/>
      <c r="C318" s="102"/>
      <c r="D318" s="102"/>
      <c r="E318" s="102"/>
      <c r="F318" s="102"/>
      <c r="G318" s="103"/>
      <c r="I318" s="101"/>
      <c r="J318" s="102"/>
      <c r="K318" s="102"/>
      <c r="L318" s="102"/>
      <c r="M318" s="102"/>
      <c r="N318" s="102"/>
      <c r="O318" s="103"/>
    </row>
    <row r="319" spans="1:15" ht="14.1" customHeight="1" thickBot="1" x14ac:dyDescent="0.3">
      <c r="A319" s="107"/>
      <c r="B319" s="99"/>
      <c r="C319" s="99"/>
      <c r="D319" s="99"/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107"/>
    </row>
    <row r="320" spans="1:15" ht="16.5" thickBot="1" x14ac:dyDescent="0.3">
      <c r="A320" s="86"/>
      <c r="B320" s="155"/>
      <c r="C320" s="87"/>
      <c r="D320" s="87"/>
      <c r="E320" s="87"/>
      <c r="F320" s="155"/>
      <c r="G320" s="88"/>
      <c r="I320" s="86"/>
      <c r="J320" s="155"/>
      <c r="K320" s="87"/>
      <c r="L320" s="87"/>
      <c r="M320" s="87"/>
      <c r="N320" s="155"/>
      <c r="O320" s="88"/>
    </row>
    <row r="321" spans="1:15" ht="20.100000000000001" customHeight="1" thickBot="1" x14ac:dyDescent="0.3">
      <c r="A321" s="90"/>
      <c r="B321" s="507"/>
      <c r="C321" s="504"/>
      <c r="D321" s="505"/>
      <c r="E321" s="106"/>
      <c r="F321" s="136" t="s">
        <v>60</v>
      </c>
      <c r="G321" s="91"/>
      <c r="I321" s="90"/>
      <c r="J321" s="503"/>
      <c r="K321" s="504"/>
      <c r="L321" s="505"/>
      <c r="M321" s="106"/>
      <c r="N321" s="136" t="str">
        <f>F321</f>
        <v>RONDE 20</v>
      </c>
      <c r="O321" s="91"/>
    </row>
    <row r="322" spans="1:15" ht="13.5" customHeight="1" thickBot="1" x14ac:dyDescent="0.3">
      <c r="A322" s="90"/>
      <c r="B322" s="92"/>
      <c r="C322" s="92"/>
      <c r="D322" s="92"/>
      <c r="E322" s="92"/>
      <c r="F322" s="93"/>
      <c r="G322" s="91"/>
      <c r="I322" s="90"/>
      <c r="J322" s="92"/>
      <c r="K322" s="92"/>
      <c r="L322" s="92"/>
      <c r="M322" s="92"/>
      <c r="N322" s="93"/>
      <c r="O322" s="91"/>
    </row>
    <row r="323" spans="1:15" ht="20.100000000000001" customHeight="1" thickBot="1" x14ac:dyDescent="0.3">
      <c r="A323" s="94"/>
      <c r="B323" s="499" t="str">
        <f>START!B21</f>
        <v>15:20 - 15:40 uur</v>
      </c>
      <c r="C323" s="496"/>
      <c r="D323" s="496"/>
      <c r="E323" s="497"/>
      <c r="F323" s="104" t="s">
        <v>249</v>
      </c>
      <c r="G323" s="95"/>
      <c r="H323" s="96"/>
      <c r="I323" s="94"/>
      <c r="J323" s="499" t="str">
        <f>B323</f>
        <v>15:20 - 15:40 uur</v>
      </c>
      <c r="K323" s="496"/>
      <c r="L323" s="496"/>
      <c r="M323" s="497"/>
      <c r="N323" s="104" t="s">
        <v>250</v>
      </c>
      <c r="O323" s="95"/>
    </row>
    <row r="324" spans="1:15" ht="13.5" customHeight="1" thickBot="1" x14ac:dyDescent="0.3">
      <c r="A324" s="90"/>
      <c r="B324" s="97"/>
      <c r="C324" s="92"/>
      <c r="D324" s="92"/>
      <c r="E324" s="92"/>
      <c r="F324" s="98"/>
      <c r="G324" s="91"/>
      <c r="I324" s="90"/>
      <c r="J324" s="97"/>
      <c r="K324" s="92"/>
      <c r="L324" s="92"/>
      <c r="M324" s="92"/>
      <c r="N324" s="98"/>
      <c r="O324" s="91"/>
    </row>
    <row r="325" spans="1:15" s="117" customFormat="1" ht="30" customHeight="1" thickBot="1" x14ac:dyDescent="0.35">
      <c r="A325" s="113"/>
      <c r="B325" s="359"/>
      <c r="C325" s="360"/>
      <c r="D325" s="361"/>
      <c r="E325" s="114"/>
      <c r="F325" s="115"/>
      <c r="G325" s="116"/>
      <c r="I325" s="113"/>
      <c r="J325" s="359"/>
      <c r="K325" s="360"/>
      <c r="L325" s="361"/>
      <c r="M325" s="114"/>
      <c r="N325" s="115"/>
      <c r="O325" s="116"/>
    </row>
    <row r="326" spans="1:15" ht="16.5" thickBot="1" x14ac:dyDescent="0.3">
      <c r="A326" s="90"/>
      <c r="B326" s="99"/>
      <c r="C326" s="99"/>
      <c r="D326" s="99"/>
      <c r="E326" s="99"/>
      <c r="F326" s="99"/>
      <c r="G326" s="91"/>
      <c r="I326" s="90"/>
      <c r="J326" s="99"/>
      <c r="K326" s="99"/>
      <c r="L326" s="99"/>
      <c r="M326" s="99"/>
      <c r="N326" s="99"/>
      <c r="O326" s="91"/>
    </row>
    <row r="327" spans="1:15" s="117" customFormat="1" ht="30" customHeight="1" thickBot="1" x14ac:dyDescent="0.35">
      <c r="A327" s="113"/>
      <c r="B327" s="359"/>
      <c r="C327" s="360"/>
      <c r="D327" s="361"/>
      <c r="E327" s="114"/>
      <c r="F327" s="115"/>
      <c r="G327" s="116"/>
      <c r="I327" s="113"/>
      <c r="J327" s="359"/>
      <c r="K327" s="360"/>
      <c r="L327" s="361"/>
      <c r="M327" s="114"/>
      <c r="N327" s="115"/>
      <c r="O327" s="116"/>
    </row>
    <row r="328" spans="1:15" ht="12" customHeight="1" x14ac:dyDescent="0.25">
      <c r="A328" s="90"/>
      <c r="B328" s="99"/>
      <c r="C328" s="99"/>
      <c r="D328" s="99"/>
      <c r="E328" s="99"/>
      <c r="F328" s="99"/>
      <c r="G328" s="91"/>
      <c r="I328" s="90"/>
      <c r="J328" s="99"/>
      <c r="K328" s="99"/>
      <c r="L328" s="99"/>
      <c r="M328" s="99"/>
      <c r="N328" s="99"/>
      <c r="O328" s="91"/>
    </row>
    <row r="329" spans="1:15" ht="13.5" customHeight="1" x14ac:dyDescent="0.25">
      <c r="A329" s="90"/>
      <c r="B329" s="498" t="str">
        <f>B293</f>
        <v>SCOREKAART - HVC2016</v>
      </c>
      <c r="C329" s="498"/>
      <c r="D329" s="498"/>
      <c r="E329" s="498"/>
      <c r="F329" s="498"/>
      <c r="G329" s="91"/>
      <c r="I329" s="90"/>
      <c r="J329" s="498" t="str">
        <f>B293</f>
        <v>SCOREKAART - HVC2016</v>
      </c>
      <c r="K329" s="498"/>
      <c r="L329" s="498"/>
      <c r="M329" s="498"/>
      <c r="N329" s="498"/>
      <c r="O329" s="91"/>
    </row>
    <row r="330" spans="1:15" ht="12" customHeight="1" thickBot="1" x14ac:dyDescent="0.3">
      <c r="A330" s="101"/>
      <c r="B330" s="102"/>
      <c r="C330" s="102"/>
      <c r="D330" s="102"/>
      <c r="E330" s="102"/>
      <c r="F330" s="102"/>
      <c r="G330" s="103"/>
      <c r="I330" s="101"/>
      <c r="J330" s="102"/>
      <c r="K330" s="102"/>
      <c r="L330" s="102"/>
      <c r="M330" s="102"/>
      <c r="N330" s="102"/>
      <c r="O330" s="103"/>
    </row>
    <row r="331" spans="1:15" ht="16.5" thickBot="1" x14ac:dyDescent="0.3">
      <c r="A331" s="86"/>
      <c r="B331" s="155"/>
      <c r="C331" s="87"/>
      <c r="D331" s="87"/>
      <c r="E331" s="87"/>
      <c r="F331" s="155"/>
      <c r="G331" s="88"/>
      <c r="I331" s="86"/>
      <c r="J331" s="155"/>
      <c r="K331" s="87"/>
      <c r="L331" s="87"/>
      <c r="M331" s="87"/>
      <c r="N331" s="87"/>
      <c r="O331" s="88"/>
    </row>
    <row r="332" spans="1:15" ht="20.25" customHeight="1" thickBot="1" x14ac:dyDescent="0.3">
      <c r="A332" s="90"/>
      <c r="B332" s="506"/>
      <c r="C332" s="504"/>
      <c r="D332" s="505"/>
      <c r="E332" s="106"/>
      <c r="F332" s="136" t="str">
        <f>F321</f>
        <v>RONDE 20</v>
      </c>
      <c r="G332" s="91"/>
      <c r="I332" s="90"/>
      <c r="J332" s="503"/>
      <c r="K332" s="504"/>
      <c r="L332" s="505"/>
      <c r="M332" s="106"/>
      <c r="N332" s="136" t="s">
        <v>76</v>
      </c>
      <c r="O332" s="91"/>
    </row>
    <row r="333" spans="1:15" ht="9.75" customHeight="1" thickBot="1" x14ac:dyDescent="0.3">
      <c r="A333" s="90"/>
      <c r="B333" s="92"/>
      <c r="C333" s="92"/>
      <c r="D333" s="92"/>
      <c r="E333" s="92"/>
      <c r="F333" s="93"/>
      <c r="G333" s="91"/>
      <c r="I333" s="90"/>
      <c r="J333" s="92"/>
      <c r="K333" s="92"/>
      <c r="L333" s="92"/>
      <c r="M333" s="92"/>
      <c r="N333" s="93"/>
      <c r="O333" s="91"/>
    </row>
    <row r="334" spans="1:15" s="96" customFormat="1" ht="19.5" customHeight="1" thickBot="1" x14ac:dyDescent="0.3">
      <c r="A334" s="94"/>
      <c r="B334" s="499" t="str">
        <f>B323</f>
        <v>15:20 - 15:40 uur</v>
      </c>
      <c r="C334" s="496"/>
      <c r="D334" s="496"/>
      <c r="E334" s="497"/>
      <c r="F334" s="104" t="s">
        <v>251</v>
      </c>
      <c r="G334" s="95"/>
      <c r="I334" s="94"/>
      <c r="J334" s="495" t="str">
        <f>B334</f>
        <v>15:20 - 15:40 uur</v>
      </c>
      <c r="K334" s="496"/>
      <c r="L334" s="496"/>
      <c r="M334" s="497"/>
      <c r="N334" s="104" t="s">
        <v>252</v>
      </c>
      <c r="O334" s="95"/>
    </row>
    <row r="335" spans="1:15" ht="14.25" customHeight="1" thickBot="1" x14ac:dyDescent="0.3">
      <c r="A335" s="90"/>
      <c r="B335" s="97"/>
      <c r="C335" s="92"/>
      <c r="D335" s="92"/>
      <c r="E335" s="92"/>
      <c r="F335" s="98"/>
      <c r="G335" s="91"/>
      <c r="I335" s="90"/>
      <c r="J335" s="97"/>
      <c r="K335" s="92"/>
      <c r="L335" s="92"/>
      <c r="M335" s="92"/>
      <c r="N335" s="98"/>
      <c r="O335" s="91"/>
    </row>
    <row r="336" spans="1:15" s="117" customFormat="1" ht="30" customHeight="1" thickBot="1" x14ac:dyDescent="0.35">
      <c r="A336" s="113"/>
      <c r="B336" s="500"/>
      <c r="C336" s="501"/>
      <c r="D336" s="502"/>
      <c r="E336" s="114"/>
      <c r="F336" s="115"/>
      <c r="G336" s="116"/>
      <c r="I336" s="113"/>
      <c r="J336" s="359" t="str">
        <f>EINDRONDE!AB9</f>
        <v>9e Beste nrs. 3</v>
      </c>
      <c r="K336" s="360"/>
      <c r="L336" s="361"/>
      <c r="M336" s="114"/>
      <c r="N336" s="115"/>
      <c r="O336" s="116"/>
    </row>
    <row r="337" spans="1:15" ht="16.5" thickBot="1" x14ac:dyDescent="0.3">
      <c r="A337" s="90"/>
      <c r="B337" s="99"/>
      <c r="C337" s="99"/>
      <c r="D337" s="99"/>
      <c r="E337" s="99"/>
      <c r="F337" s="99"/>
      <c r="G337" s="91"/>
      <c r="I337" s="90"/>
      <c r="J337" s="99"/>
      <c r="K337" s="99"/>
      <c r="L337" s="99"/>
      <c r="M337" s="99"/>
      <c r="N337" s="99"/>
      <c r="O337" s="91"/>
    </row>
    <row r="338" spans="1:15" s="117" customFormat="1" ht="30" customHeight="1" thickBot="1" x14ac:dyDescent="0.35">
      <c r="A338" s="113"/>
      <c r="B338" s="359"/>
      <c r="C338" s="360"/>
      <c r="D338" s="361"/>
      <c r="E338" s="114"/>
      <c r="F338" s="115"/>
      <c r="G338" s="116"/>
      <c r="I338" s="113"/>
      <c r="J338" s="359" t="str">
        <f>EINDRONDE!AB10</f>
        <v>Veddetero's klunzen</v>
      </c>
      <c r="K338" s="360"/>
      <c r="L338" s="361"/>
      <c r="M338" s="114"/>
      <c r="N338" s="115"/>
      <c r="O338" s="116"/>
    </row>
    <row r="339" spans="1:15" ht="12" customHeight="1" x14ac:dyDescent="0.25">
      <c r="A339" s="90"/>
      <c r="B339" s="99"/>
      <c r="C339" s="99"/>
      <c r="D339" s="99"/>
      <c r="E339" s="99"/>
      <c r="F339" s="99"/>
      <c r="G339" s="91"/>
      <c r="I339" s="90"/>
      <c r="J339" s="99"/>
      <c r="K339" s="99"/>
      <c r="L339" s="99"/>
      <c r="M339" s="99"/>
      <c r="N339" s="99"/>
      <c r="O339" s="91"/>
    </row>
    <row r="340" spans="1:15" ht="13.5" customHeight="1" x14ac:dyDescent="0.25">
      <c r="A340" s="90"/>
      <c r="B340" s="498" t="str">
        <f>B329</f>
        <v>SCOREKAART - HVC2016</v>
      </c>
      <c r="C340" s="498"/>
      <c r="D340" s="498"/>
      <c r="E340" s="498"/>
      <c r="F340" s="498"/>
      <c r="G340" s="91"/>
      <c r="I340" s="90"/>
      <c r="J340" s="498" t="str">
        <f>B340</f>
        <v>SCOREKAART - HVC2016</v>
      </c>
      <c r="K340" s="498"/>
      <c r="L340" s="498"/>
      <c r="M340" s="498"/>
      <c r="N340" s="498"/>
      <c r="O340" s="91"/>
    </row>
    <row r="341" spans="1:15" ht="11.25" customHeight="1" thickBot="1" x14ac:dyDescent="0.3">
      <c r="A341" s="101"/>
      <c r="B341" s="102"/>
      <c r="C341" s="102"/>
      <c r="D341" s="102"/>
      <c r="E341" s="102"/>
      <c r="F341" s="102"/>
      <c r="G341" s="103"/>
      <c r="I341" s="101"/>
      <c r="J341" s="102"/>
      <c r="K341" s="102"/>
      <c r="L341" s="102"/>
      <c r="M341" s="102"/>
      <c r="N341" s="102"/>
      <c r="O341" s="103"/>
    </row>
    <row r="342" spans="1:15" ht="13.5" customHeight="1" thickBot="1" x14ac:dyDescent="0.3">
      <c r="A342" s="99"/>
      <c r="B342" s="155"/>
      <c r="C342" s="99"/>
      <c r="D342" s="99"/>
      <c r="E342" s="99"/>
      <c r="F342" s="99"/>
      <c r="G342" s="99"/>
      <c r="I342" s="99"/>
      <c r="J342" s="155"/>
      <c r="K342" s="99"/>
      <c r="L342" s="99"/>
      <c r="M342" s="99"/>
      <c r="N342" s="99"/>
      <c r="O342" s="99"/>
    </row>
    <row r="343" spans="1:15" ht="16.5" thickBot="1" x14ac:dyDescent="0.3">
      <c r="A343" s="86"/>
      <c r="B343" s="87"/>
      <c r="C343" s="87"/>
      <c r="D343" s="87"/>
      <c r="E343" s="87"/>
      <c r="F343" s="87"/>
      <c r="G343" s="88"/>
      <c r="I343" s="86"/>
      <c r="J343" s="87"/>
      <c r="K343" s="87"/>
      <c r="L343" s="87"/>
      <c r="M343" s="87"/>
      <c r="N343" s="87"/>
      <c r="O343" s="88"/>
    </row>
    <row r="344" spans="1:15" ht="20.100000000000001" customHeight="1" thickBot="1" x14ac:dyDescent="0.3">
      <c r="A344" s="90"/>
      <c r="B344" s="503">
        <f>J332</f>
        <v>0</v>
      </c>
      <c r="C344" s="504"/>
      <c r="D344" s="505"/>
      <c r="E344" s="106"/>
      <c r="F344" s="105" t="str">
        <f>N332</f>
        <v>RONDE 21</v>
      </c>
      <c r="G344" s="91"/>
      <c r="I344" s="90"/>
      <c r="J344" s="503">
        <f>J332</f>
        <v>0</v>
      </c>
      <c r="K344" s="504"/>
      <c r="L344" s="505"/>
      <c r="M344" s="106"/>
      <c r="N344" s="105" t="str">
        <f>N332</f>
        <v>RONDE 21</v>
      </c>
      <c r="O344" s="91"/>
    </row>
    <row r="345" spans="1:15" ht="9.75" customHeight="1" thickBot="1" x14ac:dyDescent="0.3">
      <c r="A345" s="90"/>
      <c r="B345" s="92"/>
      <c r="C345" s="92"/>
      <c r="D345" s="92"/>
      <c r="E345" s="92"/>
      <c r="F345" s="93"/>
      <c r="G345" s="91"/>
      <c r="I345" s="90"/>
      <c r="J345" s="92"/>
      <c r="K345" s="92"/>
      <c r="L345" s="92"/>
      <c r="M345" s="92"/>
      <c r="N345" s="93"/>
      <c r="O345" s="91"/>
    </row>
    <row r="346" spans="1:15" ht="20.100000000000001" customHeight="1" thickBot="1" x14ac:dyDescent="0.3">
      <c r="A346" s="94"/>
      <c r="B346" s="495" t="str">
        <f>B334</f>
        <v>15:20 - 15:40 uur</v>
      </c>
      <c r="C346" s="496"/>
      <c r="D346" s="496"/>
      <c r="E346" s="497"/>
      <c r="F346" s="104" t="s">
        <v>253</v>
      </c>
      <c r="G346" s="95"/>
      <c r="H346" s="96"/>
      <c r="I346" s="94"/>
      <c r="J346" s="495" t="str">
        <f>B334</f>
        <v>15:20 - 15:40 uur</v>
      </c>
      <c r="K346" s="496"/>
      <c r="L346" s="496"/>
      <c r="M346" s="497"/>
      <c r="N346" s="104" t="s">
        <v>254</v>
      </c>
      <c r="O346" s="95"/>
    </row>
    <row r="347" spans="1:15" ht="13.5" customHeight="1" thickBot="1" x14ac:dyDescent="0.3">
      <c r="A347" s="90"/>
      <c r="B347" s="97"/>
      <c r="C347" s="92"/>
      <c r="D347" s="92"/>
      <c r="E347" s="92"/>
      <c r="F347" s="98"/>
      <c r="G347" s="91"/>
      <c r="I347" s="90"/>
      <c r="J347" s="97"/>
      <c r="K347" s="92"/>
      <c r="L347" s="92"/>
      <c r="M347" s="92"/>
      <c r="N347" s="98"/>
      <c r="O347" s="91"/>
    </row>
    <row r="348" spans="1:15" s="117" customFormat="1" ht="30" customHeight="1" thickBot="1" x14ac:dyDescent="0.35">
      <c r="A348" s="113"/>
      <c r="B348" s="359" t="str">
        <f>EINDRONDE!AB11</f>
        <v>4e Poule E</v>
      </c>
      <c r="C348" s="360"/>
      <c r="D348" s="361"/>
      <c r="E348" s="114"/>
      <c r="F348" s="115"/>
      <c r="G348" s="116"/>
      <c r="I348" s="113"/>
      <c r="J348" s="500" t="s">
        <v>255</v>
      </c>
      <c r="K348" s="501"/>
      <c r="L348" s="502"/>
      <c r="M348" s="114"/>
      <c r="N348" s="115"/>
      <c r="O348" s="116"/>
    </row>
    <row r="349" spans="1:15" ht="16.5" thickBot="1" x14ac:dyDescent="0.3">
      <c r="A349" s="90"/>
      <c r="B349" s="99"/>
      <c r="C349" s="99"/>
      <c r="D349" s="99"/>
      <c r="E349" s="99"/>
      <c r="F349" s="99"/>
      <c r="G349" s="91"/>
      <c r="I349" s="90"/>
      <c r="J349" s="99"/>
      <c r="K349" s="99"/>
      <c r="L349" s="99"/>
      <c r="M349" s="99"/>
      <c r="N349" s="99"/>
      <c r="O349" s="91"/>
    </row>
    <row r="350" spans="1:15" s="117" customFormat="1" ht="30" customHeight="1" thickBot="1" x14ac:dyDescent="0.35">
      <c r="A350" s="113"/>
      <c r="B350" s="359" t="str">
        <f>EINDRONDE!AB8</f>
        <v>8e Beste nrs. 3</v>
      </c>
      <c r="C350" s="360"/>
      <c r="D350" s="361"/>
      <c r="E350" s="114"/>
      <c r="F350" s="115"/>
      <c r="G350" s="116"/>
      <c r="I350" s="113"/>
      <c r="J350" s="359"/>
      <c r="K350" s="360"/>
      <c r="L350" s="361"/>
      <c r="M350" s="114"/>
      <c r="N350" s="115"/>
      <c r="O350" s="116"/>
    </row>
    <row r="351" spans="1:15" ht="12" customHeight="1" x14ac:dyDescent="0.25">
      <c r="A351" s="90"/>
      <c r="B351" s="99"/>
      <c r="C351" s="99"/>
      <c r="D351" s="99"/>
      <c r="E351" s="99"/>
      <c r="F351" s="99"/>
      <c r="G351" s="91"/>
      <c r="I351" s="90"/>
      <c r="J351" s="99"/>
      <c r="K351" s="99"/>
      <c r="L351" s="99"/>
      <c r="M351" s="99"/>
      <c r="N351" s="99"/>
      <c r="O351" s="91"/>
    </row>
    <row r="352" spans="1:15" ht="13.5" customHeight="1" x14ac:dyDescent="0.25">
      <c r="A352" s="90"/>
      <c r="B352" s="498" t="str">
        <f>B340</f>
        <v>SCOREKAART - HVC2016</v>
      </c>
      <c r="C352" s="498"/>
      <c r="D352" s="498"/>
      <c r="E352" s="498"/>
      <c r="F352" s="498"/>
      <c r="G352" s="91"/>
      <c r="I352" s="90"/>
      <c r="J352" s="498" t="str">
        <f>B340</f>
        <v>SCOREKAART - HVC2016</v>
      </c>
      <c r="K352" s="498"/>
      <c r="L352" s="498"/>
      <c r="M352" s="498"/>
      <c r="N352" s="498"/>
      <c r="O352" s="91"/>
    </row>
    <row r="353" spans="1:15" ht="11.25" customHeight="1" x14ac:dyDescent="0.25">
      <c r="A353" s="90"/>
      <c r="B353" s="99"/>
      <c r="C353" s="99"/>
      <c r="D353" s="99"/>
      <c r="E353" s="99"/>
      <c r="F353" s="99"/>
      <c r="G353" s="91"/>
      <c r="I353" s="90"/>
      <c r="J353" s="99"/>
      <c r="K353" s="99"/>
      <c r="L353" s="99"/>
      <c r="M353" s="99"/>
      <c r="N353" s="99"/>
      <c r="O353" s="91"/>
    </row>
    <row r="354" spans="1:15" ht="14.1" customHeight="1" x14ac:dyDescent="0.25">
      <c r="A354" s="92"/>
      <c r="B354" s="92"/>
      <c r="C354" s="92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</row>
    <row r="355" spans="1:15" ht="16.5" customHeight="1" x14ac:dyDescent="0.25">
      <c r="A355" s="92"/>
      <c r="B355" s="92"/>
      <c r="C355" s="92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</row>
    <row r="356" spans="1:15" ht="20.100000000000001" customHeight="1" x14ac:dyDescent="0.25">
      <c r="A356" s="92"/>
      <c r="B356" s="494"/>
      <c r="C356" s="494"/>
      <c r="D356" s="494"/>
      <c r="E356" s="362"/>
      <c r="F356" s="125"/>
      <c r="G356" s="92"/>
      <c r="H356" s="92"/>
      <c r="I356" s="92"/>
      <c r="J356" s="494"/>
      <c r="K356" s="494"/>
      <c r="L356" s="494"/>
      <c r="M356" s="362"/>
      <c r="N356" s="125"/>
      <c r="O356" s="92"/>
    </row>
    <row r="357" spans="1:15" ht="13.5" customHeight="1" x14ac:dyDescent="0.25">
      <c r="A357" s="92"/>
      <c r="B357" s="92"/>
      <c r="C357" s="92"/>
      <c r="D357" s="92"/>
      <c r="E357" s="92"/>
      <c r="F357" s="98"/>
      <c r="G357" s="92"/>
      <c r="H357" s="92"/>
      <c r="I357" s="92"/>
      <c r="J357" s="92"/>
      <c r="K357" s="92"/>
      <c r="L357" s="92"/>
      <c r="M357" s="92"/>
      <c r="N357" s="98"/>
      <c r="O357" s="92"/>
    </row>
    <row r="358" spans="1:15" ht="20.100000000000001" customHeight="1" x14ac:dyDescent="0.25">
      <c r="A358" s="127"/>
      <c r="B358" s="492"/>
      <c r="C358" s="492"/>
      <c r="D358" s="492"/>
      <c r="E358" s="492"/>
      <c r="F358" s="126"/>
      <c r="G358" s="127"/>
      <c r="H358" s="127"/>
      <c r="I358" s="127"/>
      <c r="J358" s="492"/>
      <c r="K358" s="492"/>
      <c r="L358" s="492"/>
      <c r="M358" s="492"/>
      <c r="N358" s="126"/>
      <c r="O358" s="127"/>
    </row>
    <row r="359" spans="1:15" ht="13.5" customHeight="1" x14ac:dyDescent="0.25">
      <c r="A359" s="92"/>
      <c r="B359" s="97"/>
      <c r="C359" s="92"/>
      <c r="D359" s="92"/>
      <c r="E359" s="92"/>
      <c r="F359" s="98"/>
      <c r="G359" s="92"/>
      <c r="H359" s="92"/>
      <c r="I359" s="92"/>
      <c r="J359" s="97"/>
      <c r="K359" s="92"/>
      <c r="L359" s="92"/>
      <c r="M359" s="92"/>
      <c r="N359" s="98"/>
      <c r="O359" s="92"/>
    </row>
    <row r="360" spans="1:15" s="117" customFormat="1" ht="30" customHeight="1" x14ac:dyDescent="0.3">
      <c r="A360" s="137"/>
      <c r="B360" s="138"/>
      <c r="C360" s="138"/>
      <c r="D360" s="138"/>
      <c r="E360" s="137"/>
      <c r="F360" s="137"/>
      <c r="G360" s="137"/>
      <c r="H360" s="137"/>
      <c r="I360" s="137"/>
      <c r="J360" s="138"/>
      <c r="K360" s="138"/>
      <c r="L360" s="138"/>
      <c r="M360" s="137"/>
      <c r="N360" s="137"/>
      <c r="O360" s="137"/>
    </row>
    <row r="361" spans="1:15" x14ac:dyDescent="0.25">
      <c r="A361" s="92"/>
      <c r="B361" s="92"/>
      <c r="C361" s="92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</row>
    <row r="362" spans="1:15" s="117" customFormat="1" ht="30" customHeight="1" x14ac:dyDescent="0.3">
      <c r="A362" s="137"/>
      <c r="B362" s="138"/>
      <c r="C362" s="138"/>
      <c r="D362" s="138"/>
      <c r="E362" s="137"/>
      <c r="F362" s="137"/>
      <c r="G362" s="137"/>
      <c r="H362" s="137"/>
      <c r="I362" s="137"/>
      <c r="J362" s="138"/>
      <c r="K362" s="138"/>
      <c r="L362" s="138"/>
      <c r="M362" s="137"/>
      <c r="N362" s="137"/>
      <c r="O362" s="137"/>
    </row>
    <row r="363" spans="1:15" ht="12" customHeight="1" x14ac:dyDescent="0.25">
      <c r="A363" s="92"/>
      <c r="B363" s="92"/>
      <c r="C363" s="92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</row>
    <row r="364" spans="1:15" ht="13.5" customHeight="1" x14ac:dyDescent="0.25">
      <c r="A364" s="92"/>
      <c r="B364" s="493"/>
      <c r="C364" s="493"/>
      <c r="D364" s="493"/>
      <c r="E364" s="493"/>
      <c r="F364" s="493"/>
      <c r="G364" s="92"/>
      <c r="H364" s="92"/>
      <c r="I364" s="92"/>
      <c r="J364" s="493"/>
      <c r="K364" s="493"/>
      <c r="L364" s="493"/>
      <c r="M364" s="493"/>
      <c r="N364" s="493"/>
      <c r="O364" s="92"/>
    </row>
    <row r="365" spans="1:15" ht="12" customHeight="1" x14ac:dyDescent="0.25">
      <c r="A365" s="92"/>
      <c r="B365" s="92"/>
      <c r="C365" s="92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</row>
    <row r="366" spans="1:15" ht="14.1" customHeight="1" x14ac:dyDescent="0.25">
      <c r="A366" s="92"/>
      <c r="B366" s="92"/>
      <c r="C366" s="92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</row>
    <row r="367" spans="1:15" x14ac:dyDescent="0.25">
      <c r="A367" s="92"/>
      <c r="B367" s="92"/>
      <c r="C367" s="92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</row>
    <row r="368" spans="1:15" ht="20.100000000000001" customHeight="1" x14ac:dyDescent="0.25">
      <c r="A368" s="92"/>
      <c r="B368" s="494"/>
      <c r="C368" s="494"/>
      <c r="D368" s="494"/>
      <c r="E368" s="362"/>
      <c r="F368" s="125"/>
      <c r="G368" s="92"/>
      <c r="H368" s="92"/>
      <c r="I368" s="92"/>
      <c r="J368" s="494"/>
      <c r="K368" s="494"/>
      <c r="L368" s="494"/>
      <c r="M368" s="362"/>
      <c r="N368" s="125"/>
      <c r="O368" s="92"/>
    </row>
    <row r="369" spans="1:15" ht="13.5" customHeight="1" x14ac:dyDescent="0.25">
      <c r="A369" s="92"/>
      <c r="B369" s="92"/>
      <c r="C369" s="92"/>
      <c r="D369" s="92"/>
      <c r="E369" s="92"/>
      <c r="F369" s="98"/>
      <c r="G369" s="92"/>
      <c r="H369" s="92"/>
      <c r="I369" s="92"/>
      <c r="J369" s="92"/>
      <c r="K369" s="92"/>
      <c r="L369" s="92"/>
      <c r="M369" s="92"/>
      <c r="N369" s="98"/>
      <c r="O369" s="92"/>
    </row>
    <row r="370" spans="1:15" ht="20.100000000000001" customHeight="1" x14ac:dyDescent="0.25">
      <c r="A370" s="127"/>
      <c r="B370" s="492"/>
      <c r="C370" s="492"/>
      <c r="D370" s="492"/>
      <c r="E370" s="492"/>
      <c r="F370" s="126"/>
      <c r="G370" s="127"/>
      <c r="H370" s="127"/>
      <c r="I370" s="127"/>
      <c r="J370" s="492"/>
      <c r="K370" s="492"/>
      <c r="L370" s="492"/>
      <c r="M370" s="492"/>
      <c r="N370" s="126"/>
      <c r="O370" s="127"/>
    </row>
    <row r="371" spans="1:15" ht="13.5" customHeight="1" x14ac:dyDescent="0.25">
      <c r="A371" s="92"/>
      <c r="B371" s="97"/>
      <c r="C371" s="92"/>
      <c r="D371" s="92"/>
      <c r="E371" s="92"/>
      <c r="F371" s="98"/>
      <c r="G371" s="92"/>
      <c r="H371" s="92"/>
      <c r="I371" s="92"/>
      <c r="J371" s="97"/>
      <c r="K371" s="92"/>
      <c r="L371" s="92"/>
      <c r="M371" s="92"/>
      <c r="N371" s="98"/>
      <c r="O371" s="92"/>
    </row>
    <row r="372" spans="1:15" s="117" customFormat="1" ht="30" customHeight="1" x14ac:dyDescent="0.3">
      <c r="A372" s="137"/>
      <c r="B372" s="138"/>
      <c r="C372" s="138"/>
      <c r="D372" s="138"/>
      <c r="E372" s="137"/>
      <c r="F372" s="137"/>
      <c r="G372" s="137"/>
      <c r="H372" s="137"/>
      <c r="I372" s="137"/>
      <c r="J372" s="138"/>
      <c r="K372" s="138"/>
      <c r="L372" s="138"/>
      <c r="M372" s="137"/>
      <c r="N372" s="137"/>
      <c r="O372" s="137"/>
    </row>
    <row r="373" spans="1:15" x14ac:dyDescent="0.25">
      <c r="A373" s="92"/>
      <c r="B373" s="92"/>
      <c r="C373" s="92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</row>
    <row r="374" spans="1:15" s="117" customFormat="1" ht="30" customHeight="1" x14ac:dyDescent="0.3">
      <c r="A374" s="137"/>
      <c r="B374" s="138"/>
      <c r="C374" s="138"/>
      <c r="D374" s="138"/>
      <c r="E374" s="137"/>
      <c r="F374" s="137"/>
      <c r="G374" s="137"/>
      <c r="H374" s="137"/>
      <c r="I374" s="137"/>
      <c r="J374" s="138"/>
      <c r="K374" s="138"/>
      <c r="L374" s="138"/>
      <c r="M374" s="137"/>
      <c r="N374" s="137"/>
      <c r="O374" s="137"/>
    </row>
    <row r="375" spans="1:15" ht="12" customHeight="1" x14ac:dyDescent="0.25">
      <c r="A375" s="92"/>
      <c r="B375" s="92"/>
      <c r="C375" s="92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</row>
    <row r="376" spans="1:15" ht="13.5" customHeight="1" x14ac:dyDescent="0.25">
      <c r="A376" s="92"/>
      <c r="B376" s="493"/>
      <c r="C376" s="493"/>
      <c r="D376" s="493"/>
      <c r="E376" s="493"/>
      <c r="F376" s="493"/>
      <c r="G376" s="92"/>
      <c r="H376" s="92"/>
      <c r="I376" s="92"/>
      <c r="J376" s="493"/>
      <c r="K376" s="493"/>
      <c r="L376" s="493"/>
      <c r="M376" s="493"/>
      <c r="N376" s="493"/>
      <c r="O376" s="92"/>
    </row>
    <row r="377" spans="1:15" ht="12" customHeight="1" x14ac:dyDescent="0.25">
      <c r="A377" s="92"/>
      <c r="B377" s="92"/>
      <c r="C377" s="92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</row>
  </sheetData>
  <mergeCells count="288">
    <mergeCell ref="B54:D54"/>
    <mergeCell ref="J54:L54"/>
    <mergeCell ref="B38:D38"/>
    <mergeCell ref="J38:L38"/>
    <mergeCell ref="B34:F34"/>
    <mergeCell ref="J34:N34"/>
    <mergeCell ref="J42:L42"/>
    <mergeCell ref="B42:D42"/>
    <mergeCell ref="B44:D44"/>
    <mergeCell ref="J44:L44"/>
    <mergeCell ref="B50:D50"/>
    <mergeCell ref="J50:L50"/>
    <mergeCell ref="B52:E52"/>
    <mergeCell ref="J52:M52"/>
    <mergeCell ref="B6:D6"/>
    <mergeCell ref="J6:L6"/>
    <mergeCell ref="B14:D14"/>
    <mergeCell ref="J14:L14"/>
    <mergeCell ref="B2:D2"/>
    <mergeCell ref="B4:E4"/>
    <mergeCell ref="J2:L2"/>
    <mergeCell ref="J4:M4"/>
    <mergeCell ref="J8:L8"/>
    <mergeCell ref="J10:N10"/>
    <mergeCell ref="B10:F10"/>
    <mergeCell ref="B8:D8"/>
    <mergeCell ref="B16:E16"/>
    <mergeCell ref="J16:M16"/>
    <mergeCell ref="B18:D18"/>
    <mergeCell ref="J18:L18"/>
    <mergeCell ref="B20:D20"/>
    <mergeCell ref="J20:L20"/>
    <mergeCell ref="B26:D26"/>
    <mergeCell ref="J26:L26"/>
    <mergeCell ref="B22:F22"/>
    <mergeCell ref="J22:N22"/>
    <mergeCell ref="B28:E28"/>
    <mergeCell ref="B66:D66"/>
    <mergeCell ref="J66:L66"/>
    <mergeCell ref="B68:D68"/>
    <mergeCell ref="J68:L68"/>
    <mergeCell ref="B70:F70"/>
    <mergeCell ref="J70:N70"/>
    <mergeCell ref="B58:F58"/>
    <mergeCell ref="J58:N58"/>
    <mergeCell ref="B62:D62"/>
    <mergeCell ref="J62:L62"/>
    <mergeCell ref="B64:E64"/>
    <mergeCell ref="J64:M64"/>
    <mergeCell ref="J28:M28"/>
    <mergeCell ref="B30:D30"/>
    <mergeCell ref="J30:L30"/>
    <mergeCell ref="B32:D32"/>
    <mergeCell ref="J32:L32"/>
    <mergeCell ref="B46:F46"/>
    <mergeCell ref="J46:N46"/>
    <mergeCell ref="B40:E40"/>
    <mergeCell ref="J40:M40"/>
    <mergeCell ref="B56:D56"/>
    <mergeCell ref="J56:L56"/>
    <mergeCell ref="B80:D80"/>
    <mergeCell ref="J80:L80"/>
    <mergeCell ref="B82:F82"/>
    <mergeCell ref="J82:N82"/>
    <mergeCell ref="B86:D86"/>
    <mergeCell ref="J86:L86"/>
    <mergeCell ref="B74:D74"/>
    <mergeCell ref="J74:L74"/>
    <mergeCell ref="B76:E76"/>
    <mergeCell ref="J76:M76"/>
    <mergeCell ref="B78:D78"/>
    <mergeCell ref="J78:L78"/>
    <mergeCell ref="B94:F94"/>
    <mergeCell ref="J94:N94"/>
    <mergeCell ref="B97:D97"/>
    <mergeCell ref="J97:L97"/>
    <mergeCell ref="B99:E99"/>
    <mergeCell ref="J99:M99"/>
    <mergeCell ref="B88:E88"/>
    <mergeCell ref="J88:M88"/>
    <mergeCell ref="B90:D90"/>
    <mergeCell ref="J90:L90"/>
    <mergeCell ref="B92:D92"/>
    <mergeCell ref="J92:L92"/>
    <mergeCell ref="B109:D109"/>
    <mergeCell ref="J109:L109"/>
    <mergeCell ref="B111:E111"/>
    <mergeCell ref="J111:M111"/>
    <mergeCell ref="B113:D113"/>
    <mergeCell ref="J113:L113"/>
    <mergeCell ref="B101:D101"/>
    <mergeCell ref="J101:L101"/>
    <mergeCell ref="B103:D103"/>
    <mergeCell ref="J103:L103"/>
    <mergeCell ref="B105:F105"/>
    <mergeCell ref="J105:N105"/>
    <mergeCell ref="B123:E123"/>
    <mergeCell ref="J123:M123"/>
    <mergeCell ref="B125:D125"/>
    <mergeCell ref="J125:L125"/>
    <mergeCell ref="B127:D127"/>
    <mergeCell ref="J127:L127"/>
    <mergeCell ref="B115:D115"/>
    <mergeCell ref="J115:L115"/>
    <mergeCell ref="B117:F117"/>
    <mergeCell ref="J117:N117"/>
    <mergeCell ref="B121:D121"/>
    <mergeCell ref="J121:L121"/>
    <mergeCell ref="B137:D137"/>
    <mergeCell ref="J137:L137"/>
    <mergeCell ref="B139:D139"/>
    <mergeCell ref="J139:L139"/>
    <mergeCell ref="B141:F141"/>
    <mergeCell ref="J141:N141"/>
    <mergeCell ref="B129:F129"/>
    <mergeCell ref="J129:N129"/>
    <mergeCell ref="B133:D133"/>
    <mergeCell ref="J133:L133"/>
    <mergeCell ref="B135:E135"/>
    <mergeCell ref="J135:M135"/>
    <mergeCell ref="B150:D150"/>
    <mergeCell ref="J150:L150"/>
    <mergeCell ref="B152:F152"/>
    <mergeCell ref="J152:N152"/>
    <mergeCell ref="B156:D156"/>
    <mergeCell ref="J156:L156"/>
    <mergeCell ref="B144:D144"/>
    <mergeCell ref="J144:L144"/>
    <mergeCell ref="B146:E146"/>
    <mergeCell ref="J146:M146"/>
    <mergeCell ref="B148:D148"/>
    <mergeCell ref="J148:L148"/>
    <mergeCell ref="B164:F164"/>
    <mergeCell ref="J164:N164"/>
    <mergeCell ref="B168:D168"/>
    <mergeCell ref="J168:L168"/>
    <mergeCell ref="B170:E170"/>
    <mergeCell ref="J170:M170"/>
    <mergeCell ref="B158:E158"/>
    <mergeCell ref="J158:M158"/>
    <mergeCell ref="B160:D160"/>
    <mergeCell ref="J160:L160"/>
    <mergeCell ref="B162:D162"/>
    <mergeCell ref="J162:L162"/>
    <mergeCell ref="B180:D180"/>
    <mergeCell ref="J180:L180"/>
    <mergeCell ref="B182:E182"/>
    <mergeCell ref="J182:M182"/>
    <mergeCell ref="B184:D184"/>
    <mergeCell ref="J184:L184"/>
    <mergeCell ref="B172:D172"/>
    <mergeCell ref="J172:L172"/>
    <mergeCell ref="B174:D174"/>
    <mergeCell ref="J174:L174"/>
    <mergeCell ref="B176:F176"/>
    <mergeCell ref="J176:N176"/>
    <mergeCell ref="B193:E193"/>
    <mergeCell ref="J193:M193"/>
    <mergeCell ref="B195:D195"/>
    <mergeCell ref="J195:L195"/>
    <mergeCell ref="B197:D197"/>
    <mergeCell ref="J197:L197"/>
    <mergeCell ref="B186:D186"/>
    <mergeCell ref="J186:L186"/>
    <mergeCell ref="B188:F188"/>
    <mergeCell ref="J188:N188"/>
    <mergeCell ref="B191:D191"/>
    <mergeCell ref="J191:L191"/>
    <mergeCell ref="B207:D207"/>
    <mergeCell ref="J207:L207"/>
    <mergeCell ref="B209:D209"/>
    <mergeCell ref="J209:L209"/>
    <mergeCell ref="B211:F211"/>
    <mergeCell ref="J211:N211"/>
    <mergeCell ref="B199:F199"/>
    <mergeCell ref="J199:N199"/>
    <mergeCell ref="B203:D203"/>
    <mergeCell ref="J203:L203"/>
    <mergeCell ref="B205:E205"/>
    <mergeCell ref="J205:M205"/>
    <mergeCell ref="B221:D221"/>
    <mergeCell ref="J221:L221"/>
    <mergeCell ref="B223:F223"/>
    <mergeCell ref="J223:N223"/>
    <mergeCell ref="B227:D227"/>
    <mergeCell ref="J227:L227"/>
    <mergeCell ref="B215:D215"/>
    <mergeCell ref="J215:L215"/>
    <mergeCell ref="B217:E217"/>
    <mergeCell ref="J217:M217"/>
    <mergeCell ref="B219:D219"/>
    <mergeCell ref="J219:L219"/>
    <mergeCell ref="B235:F235"/>
    <mergeCell ref="J235:N235"/>
    <mergeCell ref="B238:D238"/>
    <mergeCell ref="J238:L238"/>
    <mergeCell ref="B240:E240"/>
    <mergeCell ref="J240:M240"/>
    <mergeCell ref="B229:E229"/>
    <mergeCell ref="J229:M229"/>
    <mergeCell ref="B231:D231"/>
    <mergeCell ref="J231:L231"/>
    <mergeCell ref="B233:D233"/>
    <mergeCell ref="J233:L233"/>
    <mergeCell ref="B250:D250"/>
    <mergeCell ref="J250:L250"/>
    <mergeCell ref="B252:E252"/>
    <mergeCell ref="J252:M252"/>
    <mergeCell ref="B254:D254"/>
    <mergeCell ref="J254:L254"/>
    <mergeCell ref="B242:D242"/>
    <mergeCell ref="J242:L242"/>
    <mergeCell ref="B244:D244"/>
    <mergeCell ref="J244:L244"/>
    <mergeCell ref="B246:F246"/>
    <mergeCell ref="J246:N246"/>
    <mergeCell ref="B264:E264"/>
    <mergeCell ref="J264:M264"/>
    <mergeCell ref="B266:D266"/>
    <mergeCell ref="J266:L266"/>
    <mergeCell ref="B268:D268"/>
    <mergeCell ref="J268:L268"/>
    <mergeCell ref="B256:D256"/>
    <mergeCell ref="J256:L256"/>
    <mergeCell ref="B258:F258"/>
    <mergeCell ref="J258:N258"/>
    <mergeCell ref="B262:D262"/>
    <mergeCell ref="J262:L262"/>
    <mergeCell ref="B278:D278"/>
    <mergeCell ref="J278:L278"/>
    <mergeCell ref="B282:F282"/>
    <mergeCell ref="J282:N282"/>
    <mergeCell ref="B285:D285"/>
    <mergeCell ref="J285:L285"/>
    <mergeCell ref="B270:F270"/>
    <mergeCell ref="J270:N270"/>
    <mergeCell ref="B274:D274"/>
    <mergeCell ref="J274:L274"/>
    <mergeCell ref="B276:E276"/>
    <mergeCell ref="J276:M276"/>
    <mergeCell ref="B299:E299"/>
    <mergeCell ref="J299:M299"/>
    <mergeCell ref="B305:F305"/>
    <mergeCell ref="J305:N305"/>
    <mergeCell ref="B309:D309"/>
    <mergeCell ref="J309:L309"/>
    <mergeCell ref="B287:E287"/>
    <mergeCell ref="J287:M287"/>
    <mergeCell ref="B293:F293"/>
    <mergeCell ref="J293:N293"/>
    <mergeCell ref="B297:D297"/>
    <mergeCell ref="J297:L297"/>
    <mergeCell ref="B323:E323"/>
    <mergeCell ref="J323:M323"/>
    <mergeCell ref="B329:F329"/>
    <mergeCell ref="J329:N329"/>
    <mergeCell ref="B332:D332"/>
    <mergeCell ref="J332:L332"/>
    <mergeCell ref="B311:E311"/>
    <mergeCell ref="J311:M311"/>
    <mergeCell ref="B317:F317"/>
    <mergeCell ref="J317:N317"/>
    <mergeCell ref="B321:D321"/>
    <mergeCell ref="J321:L321"/>
    <mergeCell ref="B346:E346"/>
    <mergeCell ref="J346:M346"/>
    <mergeCell ref="B352:F352"/>
    <mergeCell ref="J352:N352"/>
    <mergeCell ref="B356:D356"/>
    <mergeCell ref="J356:L356"/>
    <mergeCell ref="B334:E334"/>
    <mergeCell ref="J334:M334"/>
    <mergeCell ref="B340:F340"/>
    <mergeCell ref="J340:N340"/>
    <mergeCell ref="B336:D336"/>
    <mergeCell ref="B344:D344"/>
    <mergeCell ref="J344:L344"/>
    <mergeCell ref="J348:L348"/>
    <mergeCell ref="B358:E358"/>
    <mergeCell ref="J358:M358"/>
    <mergeCell ref="B364:F364"/>
    <mergeCell ref="J364:N364"/>
    <mergeCell ref="B376:F376"/>
    <mergeCell ref="J376:N376"/>
    <mergeCell ref="B368:D368"/>
    <mergeCell ref="J368:L368"/>
    <mergeCell ref="B370:E370"/>
    <mergeCell ref="J370:M370"/>
  </mergeCells>
  <phoneticPr fontId="47" type="noConversion"/>
  <pageMargins left="0.28000000000000003" right="0.4" top="0.54" bottom="0.5" header="0.28999999999999998" footer="0.5"/>
  <pageSetup scale="89" fitToWidth="0" fitToHeight="8" orientation="portrait" horizontalDpi="300" verticalDpi="300" r:id="rId1"/>
  <headerFooter alignWithMargins="0"/>
  <rowBreaks count="10" manualBreakCount="10">
    <brk id="35" max="16383" man="1"/>
    <brk id="71" max="16383" man="1"/>
    <brk id="106" max="16383" man="1"/>
    <brk id="142" max="16383" man="1"/>
    <brk id="177" max="16383" man="1"/>
    <brk id="212" max="16383" man="1"/>
    <brk id="247" max="16383" man="1"/>
    <brk id="283" max="16383" man="1"/>
    <brk id="318" max="16383" man="1"/>
    <brk id="35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7"/>
  <sheetViews>
    <sheetView view="pageBreakPreview" topLeftCell="A7" zoomScale="115" zoomScaleNormal="100" zoomScaleSheetLayoutView="115" workbookViewId="0">
      <selection activeCell="F2" sqref="F2"/>
    </sheetView>
  </sheetViews>
  <sheetFormatPr defaultColWidth="10.28515625" defaultRowHeight="15.75" x14ac:dyDescent="0.25"/>
  <cols>
    <col min="1" max="1" width="2.42578125" style="89" customWidth="1"/>
    <col min="2" max="2" width="17" style="89" customWidth="1"/>
    <col min="3" max="3" width="5.85546875" style="89" customWidth="1"/>
    <col min="4" max="4" width="9.28515625" style="89" customWidth="1"/>
    <col min="5" max="5" width="2.5703125" style="89" customWidth="1"/>
    <col min="6" max="6" width="15.42578125" style="89" customWidth="1"/>
    <col min="7" max="7" width="3" style="89" customWidth="1"/>
    <col min="8" max="8" width="4.7109375" style="89" customWidth="1"/>
    <col min="9" max="9" width="2.42578125" style="89" customWidth="1"/>
    <col min="10" max="10" width="17" style="89" customWidth="1"/>
    <col min="11" max="11" width="5.85546875" style="89" customWidth="1"/>
    <col min="12" max="12" width="9.28515625" style="89" customWidth="1"/>
    <col min="13" max="13" width="2.5703125" style="89" customWidth="1"/>
    <col min="14" max="14" width="15.42578125" style="89" customWidth="1"/>
    <col min="15" max="15" width="3" style="89" customWidth="1"/>
    <col min="16" max="16384" width="10.28515625" style="89"/>
  </cols>
  <sheetData>
    <row r="1" spans="1:15" ht="16.5" thickBot="1" x14ac:dyDescent="0.3">
      <c r="A1" s="86"/>
      <c r="B1" s="87"/>
      <c r="C1" s="87"/>
      <c r="D1" s="87"/>
      <c r="E1" s="87"/>
      <c r="F1" s="87"/>
      <c r="G1" s="88"/>
      <c r="I1" s="86"/>
      <c r="J1" s="87"/>
      <c r="K1" s="87"/>
      <c r="L1" s="87"/>
      <c r="M1" s="87"/>
      <c r="N1" s="87"/>
      <c r="O1" s="88"/>
    </row>
    <row r="2" spans="1:15" ht="20.25" customHeight="1" thickBot="1" x14ac:dyDescent="0.3">
      <c r="A2" s="90"/>
      <c r="B2" s="506" t="str">
        <f>START!D2</f>
        <v>KWALIFICATIE</v>
      </c>
      <c r="C2" s="504"/>
      <c r="D2" s="505"/>
      <c r="E2" s="106"/>
      <c r="F2" s="105" t="s">
        <v>58</v>
      </c>
      <c r="G2" s="91"/>
      <c r="I2" s="90"/>
      <c r="J2" s="503" t="str">
        <f>B2</f>
        <v>KWALIFICATIE</v>
      </c>
      <c r="K2" s="504"/>
      <c r="L2" s="505"/>
      <c r="M2" s="106"/>
      <c r="N2" s="105" t="str">
        <f>F2</f>
        <v>RONDE 19</v>
      </c>
      <c r="O2" s="91"/>
    </row>
    <row r="3" spans="1:15" ht="9.75" customHeight="1" thickBot="1" x14ac:dyDescent="0.3">
      <c r="A3" s="90"/>
      <c r="B3" s="92"/>
      <c r="C3" s="92"/>
      <c r="D3" s="92"/>
      <c r="E3" s="92"/>
      <c r="F3" s="93"/>
      <c r="G3" s="91"/>
      <c r="I3" s="90"/>
      <c r="J3" s="92"/>
      <c r="K3" s="92"/>
      <c r="L3" s="92"/>
      <c r="M3" s="92"/>
      <c r="N3" s="93"/>
      <c r="O3" s="91"/>
    </row>
    <row r="4" spans="1:15" s="96" customFormat="1" ht="19.5" customHeight="1" thickBot="1" x14ac:dyDescent="0.3">
      <c r="A4" s="94"/>
      <c r="B4" s="499" t="str">
        <f>START!B2</f>
        <v>10:30 - 10:45 uur</v>
      </c>
      <c r="C4" s="496"/>
      <c r="D4" s="496"/>
      <c r="E4" s="497"/>
      <c r="F4" s="104" t="s">
        <v>249</v>
      </c>
      <c r="G4" s="95"/>
      <c r="I4" s="94"/>
      <c r="J4" s="495" t="str">
        <f>B4</f>
        <v>10:30 - 10:45 uur</v>
      </c>
      <c r="K4" s="496"/>
      <c r="L4" s="496"/>
      <c r="M4" s="497"/>
      <c r="N4" s="104" t="s">
        <v>250</v>
      </c>
      <c r="O4" s="95"/>
    </row>
    <row r="5" spans="1:15" ht="14.25" customHeight="1" thickBot="1" x14ac:dyDescent="0.3">
      <c r="A5" s="90"/>
      <c r="B5" s="97"/>
      <c r="C5" s="92"/>
      <c r="D5" s="92"/>
      <c r="E5" s="92"/>
      <c r="F5" s="98"/>
      <c r="G5" s="91"/>
      <c r="I5" s="90"/>
      <c r="J5" s="97"/>
      <c r="K5" s="92"/>
      <c r="L5" s="92"/>
      <c r="M5" s="92"/>
      <c r="N5" s="98"/>
      <c r="O5" s="91"/>
    </row>
    <row r="6" spans="1:15" s="117" customFormat="1" ht="30" customHeight="1" thickBot="1" x14ac:dyDescent="0.35">
      <c r="A6" s="113"/>
      <c r="B6" s="500" t="str">
        <f>KWALIFICATIE!E28</f>
        <v>De Torpedo's</v>
      </c>
      <c r="C6" s="501"/>
      <c r="D6" s="502"/>
      <c r="E6" s="114"/>
      <c r="F6" s="115"/>
      <c r="G6" s="116"/>
      <c r="I6" s="113"/>
      <c r="J6" s="500" t="str">
        <f>KWALIFICATIE!E29</f>
        <v>AccentSport Rakkers</v>
      </c>
      <c r="K6" s="501"/>
      <c r="L6" s="502"/>
      <c r="M6" s="114"/>
      <c r="N6" s="115"/>
      <c r="O6" s="116"/>
    </row>
    <row r="7" spans="1:15" ht="16.5" thickBot="1" x14ac:dyDescent="0.3">
      <c r="A7" s="90"/>
      <c r="B7" s="99"/>
      <c r="C7" s="99"/>
      <c r="D7" s="99"/>
      <c r="E7" s="99"/>
      <c r="F7" s="99"/>
      <c r="G7" s="91"/>
      <c r="I7" s="90"/>
      <c r="J7" s="99"/>
      <c r="K7" s="99"/>
      <c r="L7" s="99"/>
      <c r="M7" s="99"/>
      <c r="N7" s="99"/>
      <c r="O7" s="91"/>
    </row>
    <row r="8" spans="1:15" s="117" customFormat="1" ht="30" customHeight="1" thickBot="1" x14ac:dyDescent="0.35">
      <c r="A8" s="113"/>
      <c r="B8" s="500" t="str">
        <f>KWALIFICATIE!J28</f>
        <v>Asvv de Schollevers</v>
      </c>
      <c r="C8" s="501"/>
      <c r="D8" s="502"/>
      <c r="E8" s="114"/>
      <c r="F8" s="115"/>
      <c r="G8" s="116"/>
      <c r="I8" s="113"/>
      <c r="J8" s="500" t="str">
        <f>KWALIFICATIE!J29</f>
        <v xml:space="preserve">De Pintjes </v>
      </c>
      <c r="K8" s="501"/>
      <c r="L8" s="502"/>
      <c r="M8" s="114"/>
      <c r="N8" s="115"/>
      <c r="O8" s="116"/>
    </row>
    <row r="9" spans="1:15" ht="12" customHeight="1" x14ac:dyDescent="0.25">
      <c r="A9" s="90"/>
      <c r="B9" s="99"/>
      <c r="C9" s="99"/>
      <c r="D9" s="99"/>
      <c r="E9" s="99"/>
      <c r="F9" s="99"/>
      <c r="G9" s="91"/>
      <c r="I9" s="90"/>
      <c r="J9" s="99"/>
      <c r="K9" s="99"/>
      <c r="L9" s="99"/>
      <c r="M9" s="99"/>
      <c r="N9" s="99"/>
      <c r="O9" s="91"/>
    </row>
    <row r="10" spans="1:15" ht="13.5" customHeight="1" x14ac:dyDescent="0.25">
      <c r="A10" s="90"/>
      <c r="B10" s="498" t="str">
        <f>START!A38</f>
        <v>SCOREKAART - HVC2016</v>
      </c>
      <c r="C10" s="498"/>
      <c r="D10" s="498"/>
      <c r="E10" s="498"/>
      <c r="F10" s="498"/>
      <c r="G10" s="91"/>
      <c r="I10" s="90"/>
      <c r="J10" s="498" t="str">
        <f>B10</f>
        <v>SCOREKAART - HVC2016</v>
      </c>
      <c r="K10" s="498"/>
      <c r="L10" s="498"/>
      <c r="M10" s="498"/>
      <c r="N10" s="498"/>
      <c r="O10" s="91"/>
    </row>
    <row r="11" spans="1:15" ht="11.25" customHeight="1" thickBot="1" x14ac:dyDescent="0.3">
      <c r="A11" s="101"/>
      <c r="B11" s="102"/>
      <c r="C11" s="102"/>
      <c r="D11" s="102"/>
      <c r="E11" s="102"/>
      <c r="F11" s="102"/>
      <c r="G11" s="103"/>
      <c r="I11" s="101"/>
      <c r="J11" s="102"/>
      <c r="K11" s="102"/>
      <c r="L11" s="102"/>
      <c r="M11" s="102"/>
      <c r="N11" s="102"/>
      <c r="O11" s="103"/>
    </row>
    <row r="12" spans="1:15" ht="13.5" customHeight="1" thickBot="1" x14ac:dyDescent="0.3">
      <c r="A12" s="99"/>
      <c r="B12" s="99"/>
      <c r="C12" s="99"/>
      <c r="D12" s="99"/>
      <c r="E12" s="99"/>
      <c r="F12" s="99"/>
      <c r="G12" s="99"/>
      <c r="I12" s="99"/>
      <c r="J12" s="99"/>
      <c r="K12" s="99"/>
      <c r="L12" s="99"/>
      <c r="M12" s="99"/>
      <c r="N12" s="99"/>
      <c r="O12" s="99"/>
    </row>
    <row r="13" spans="1:15" ht="16.5" thickBot="1" x14ac:dyDescent="0.3">
      <c r="A13" s="86"/>
      <c r="B13" s="87"/>
      <c r="C13" s="87"/>
      <c r="D13" s="87"/>
      <c r="E13" s="87"/>
      <c r="F13" s="87"/>
      <c r="G13" s="88"/>
      <c r="I13" s="86"/>
      <c r="J13" s="87"/>
      <c r="K13" s="87"/>
      <c r="L13" s="87"/>
      <c r="M13" s="87"/>
      <c r="N13" s="87"/>
      <c r="O13" s="88"/>
    </row>
    <row r="14" spans="1:15" ht="20.100000000000001" customHeight="1" thickBot="1" x14ac:dyDescent="0.3">
      <c r="A14" s="90"/>
      <c r="B14" s="503" t="str">
        <f>B2</f>
        <v>KWALIFICATIE</v>
      </c>
      <c r="C14" s="504"/>
      <c r="D14" s="505"/>
      <c r="E14" s="106"/>
      <c r="F14" s="105" t="str">
        <f>F2</f>
        <v>RONDE 19</v>
      </c>
      <c r="G14" s="91"/>
      <c r="I14" s="90"/>
      <c r="J14" s="503" t="str">
        <f>B2</f>
        <v>KWALIFICATIE</v>
      </c>
      <c r="K14" s="504"/>
      <c r="L14" s="505"/>
      <c r="M14" s="106"/>
      <c r="N14" s="105" t="str">
        <f>F2</f>
        <v>RONDE 19</v>
      </c>
      <c r="O14" s="91"/>
    </row>
    <row r="15" spans="1:15" ht="9.75" customHeight="1" thickBot="1" x14ac:dyDescent="0.3">
      <c r="A15" s="90"/>
      <c r="B15" s="92"/>
      <c r="C15" s="92"/>
      <c r="D15" s="92"/>
      <c r="E15" s="92"/>
      <c r="F15" s="93"/>
      <c r="G15" s="91"/>
      <c r="I15" s="90"/>
      <c r="J15" s="92"/>
      <c r="K15" s="92"/>
      <c r="L15" s="92"/>
      <c r="M15" s="92"/>
      <c r="N15" s="93"/>
      <c r="O15" s="91"/>
    </row>
    <row r="16" spans="1:15" ht="20.100000000000001" customHeight="1" thickBot="1" x14ac:dyDescent="0.3">
      <c r="A16" s="94"/>
      <c r="B16" s="495" t="str">
        <f>B4</f>
        <v>10:30 - 10:45 uur</v>
      </c>
      <c r="C16" s="496"/>
      <c r="D16" s="496"/>
      <c r="E16" s="497"/>
      <c r="F16" s="104" t="s">
        <v>251</v>
      </c>
      <c r="G16" s="95"/>
      <c r="H16" s="96"/>
      <c r="I16" s="94"/>
      <c r="J16" s="495" t="str">
        <f>B4</f>
        <v>10:30 - 10:45 uur</v>
      </c>
      <c r="K16" s="496"/>
      <c r="L16" s="496"/>
      <c r="M16" s="497"/>
      <c r="N16" s="104" t="s">
        <v>252</v>
      </c>
      <c r="O16" s="95"/>
    </row>
    <row r="17" spans="1:15" ht="13.5" customHeight="1" thickBot="1" x14ac:dyDescent="0.3">
      <c r="A17" s="90"/>
      <c r="B17" s="97"/>
      <c r="C17" s="92"/>
      <c r="D17" s="92"/>
      <c r="E17" s="92"/>
      <c r="F17" s="98"/>
      <c r="G17" s="91"/>
      <c r="I17" s="90"/>
      <c r="J17" s="97"/>
      <c r="K17" s="92"/>
      <c r="L17" s="92"/>
      <c r="M17" s="92"/>
      <c r="N17" s="98"/>
      <c r="O17" s="91"/>
    </row>
    <row r="18" spans="1:15" s="117" customFormat="1" ht="30" customHeight="1" thickBot="1" x14ac:dyDescent="0.35">
      <c r="A18" s="113"/>
      <c r="B18" s="500" t="str">
        <f>KWALIFICATIE!E30</f>
        <v>De Doofpot</v>
      </c>
      <c r="C18" s="501"/>
      <c r="D18" s="502"/>
      <c r="E18" s="114"/>
      <c r="F18" s="115"/>
      <c r="G18" s="116"/>
      <c r="I18" s="113"/>
      <c r="J18" s="500" t="str">
        <f>KWALIFICATIE!E31</f>
        <v>De Flitsers 3</v>
      </c>
      <c r="K18" s="501"/>
      <c r="L18" s="502"/>
      <c r="M18" s="114"/>
      <c r="N18" s="115"/>
      <c r="O18" s="116"/>
    </row>
    <row r="19" spans="1:15" ht="16.5" thickBot="1" x14ac:dyDescent="0.3">
      <c r="A19" s="90"/>
      <c r="B19" s="99"/>
      <c r="C19" s="99"/>
      <c r="D19" s="99"/>
      <c r="E19" s="99"/>
      <c r="F19" s="99"/>
      <c r="G19" s="91"/>
      <c r="I19" s="90"/>
      <c r="J19" s="99"/>
      <c r="K19" s="99"/>
      <c r="L19" s="99"/>
      <c r="M19" s="99"/>
      <c r="N19" s="99"/>
      <c r="O19" s="91"/>
    </row>
    <row r="20" spans="1:15" s="117" customFormat="1" ht="30" customHeight="1" thickBot="1" x14ac:dyDescent="0.35">
      <c r="A20" s="113"/>
      <c r="B20" s="500" t="str">
        <f>KWALIFICATIE!J30</f>
        <v>Fons Vitaeplein</v>
      </c>
      <c r="C20" s="501"/>
      <c r="D20" s="502"/>
      <c r="E20" s="114"/>
      <c r="F20" s="115"/>
      <c r="G20" s="116"/>
      <c r="I20" s="113"/>
      <c r="J20" s="500" t="str">
        <f>KWALIFICATIE!J31</f>
        <v>Swift Zondag 11</v>
      </c>
      <c r="K20" s="501"/>
      <c r="L20" s="502"/>
      <c r="M20" s="114"/>
      <c r="N20" s="115"/>
      <c r="O20" s="116"/>
    </row>
    <row r="21" spans="1:15" ht="12" customHeight="1" x14ac:dyDescent="0.25">
      <c r="A21" s="90"/>
      <c r="B21" s="99"/>
      <c r="C21" s="99"/>
      <c r="D21" s="99"/>
      <c r="E21" s="99"/>
      <c r="F21" s="99"/>
      <c r="G21" s="91"/>
      <c r="I21" s="90"/>
      <c r="J21" s="99"/>
      <c r="K21" s="99"/>
      <c r="L21" s="99"/>
      <c r="M21" s="99"/>
      <c r="N21" s="99"/>
      <c r="O21" s="91"/>
    </row>
    <row r="22" spans="1:15" ht="13.5" customHeight="1" x14ac:dyDescent="0.25">
      <c r="A22" s="90"/>
      <c r="B22" s="498" t="str">
        <f>B10</f>
        <v>SCOREKAART - HVC2016</v>
      </c>
      <c r="C22" s="498"/>
      <c r="D22" s="498"/>
      <c r="E22" s="498"/>
      <c r="F22" s="498"/>
      <c r="G22" s="91"/>
      <c r="I22" s="90"/>
      <c r="J22" s="498" t="str">
        <f>B10</f>
        <v>SCOREKAART - HVC2016</v>
      </c>
      <c r="K22" s="498"/>
      <c r="L22" s="498"/>
      <c r="M22" s="498"/>
      <c r="N22" s="498"/>
      <c r="O22" s="91"/>
    </row>
    <row r="23" spans="1:15" ht="11.25" customHeight="1" thickBot="1" x14ac:dyDescent="0.3">
      <c r="A23" s="101"/>
      <c r="B23" s="102"/>
      <c r="C23" s="102"/>
      <c r="D23" s="102"/>
      <c r="E23" s="102"/>
      <c r="F23" s="102"/>
      <c r="G23" s="103"/>
      <c r="I23" s="101"/>
      <c r="J23" s="102"/>
      <c r="K23" s="102"/>
      <c r="L23" s="102"/>
      <c r="M23" s="102"/>
      <c r="N23" s="102"/>
      <c r="O23" s="103"/>
    </row>
    <row r="24" spans="1:15" ht="14.1" customHeight="1" thickBot="1" x14ac:dyDescent="0.3">
      <c r="A24" s="107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107"/>
    </row>
    <row r="25" spans="1:15" ht="16.5" customHeight="1" thickBot="1" x14ac:dyDescent="0.3">
      <c r="A25" s="86"/>
      <c r="B25" s="87"/>
      <c r="C25" s="87"/>
      <c r="D25" s="87"/>
      <c r="E25" s="87"/>
      <c r="F25" s="87"/>
      <c r="G25" s="88"/>
      <c r="I25" s="86"/>
      <c r="J25" s="87"/>
      <c r="K25" s="87"/>
      <c r="L25" s="87"/>
      <c r="M25" s="87"/>
      <c r="N25" s="87"/>
      <c r="O25" s="88"/>
    </row>
    <row r="26" spans="1:15" ht="20.100000000000001" customHeight="1" thickBot="1" x14ac:dyDescent="0.3">
      <c r="A26" s="90"/>
      <c r="B26" s="503" t="str">
        <f>B2</f>
        <v>KWALIFICATIE</v>
      </c>
      <c r="C26" s="504"/>
      <c r="D26" s="505"/>
      <c r="E26" s="106"/>
      <c r="F26" s="105" t="str">
        <f>F2</f>
        <v>RONDE 19</v>
      </c>
      <c r="G26" s="91"/>
      <c r="I26" s="90"/>
      <c r="J26" s="503" t="str">
        <f>B2</f>
        <v>KWALIFICATIE</v>
      </c>
      <c r="K26" s="504"/>
      <c r="L26" s="505"/>
      <c r="M26" s="106"/>
      <c r="N26" s="105" t="str">
        <f>F2</f>
        <v>RONDE 19</v>
      </c>
      <c r="O26" s="91"/>
    </row>
    <row r="27" spans="1:15" ht="13.5" customHeight="1" thickBot="1" x14ac:dyDescent="0.3">
      <c r="A27" s="90"/>
      <c r="B27" s="92"/>
      <c r="C27" s="92"/>
      <c r="D27" s="92"/>
      <c r="E27" s="92"/>
      <c r="F27" s="93"/>
      <c r="G27" s="91"/>
      <c r="I27" s="90"/>
      <c r="J27" s="92"/>
      <c r="K27" s="92"/>
      <c r="L27" s="92"/>
      <c r="M27" s="92"/>
      <c r="N27" s="93"/>
      <c r="O27" s="91"/>
    </row>
    <row r="28" spans="1:15" ht="20.100000000000001" customHeight="1" thickBot="1" x14ac:dyDescent="0.3">
      <c r="A28" s="94"/>
      <c r="B28" s="495" t="str">
        <f>B4</f>
        <v>10:30 - 10:45 uur</v>
      </c>
      <c r="C28" s="496"/>
      <c r="D28" s="496"/>
      <c r="E28" s="497"/>
      <c r="F28" s="104" t="s">
        <v>253</v>
      </c>
      <c r="G28" s="95"/>
      <c r="H28" s="96"/>
      <c r="I28" s="94"/>
      <c r="J28" s="495" t="str">
        <f>B4</f>
        <v>10:30 - 10:45 uur</v>
      </c>
      <c r="K28" s="496"/>
      <c r="L28" s="496"/>
      <c r="M28" s="497"/>
      <c r="N28" s="104" t="s">
        <v>254</v>
      </c>
      <c r="O28" s="95"/>
    </row>
    <row r="29" spans="1:15" ht="13.5" customHeight="1" thickBot="1" x14ac:dyDescent="0.3">
      <c r="A29" s="90"/>
      <c r="B29" s="97"/>
      <c r="C29" s="92"/>
      <c r="D29" s="92"/>
      <c r="E29" s="92"/>
      <c r="F29" s="98"/>
      <c r="G29" s="91"/>
      <c r="I29" s="90"/>
      <c r="J29" s="97"/>
      <c r="K29" s="92"/>
      <c r="L29" s="92"/>
      <c r="M29" s="92"/>
      <c r="N29" s="98"/>
      <c r="O29" s="91"/>
    </row>
    <row r="30" spans="1:15" s="117" customFormat="1" ht="30" customHeight="1" thickBot="1" x14ac:dyDescent="0.35">
      <c r="A30" s="113"/>
      <c r="B30" s="500" t="str">
        <f>KWALIFICATIE!E32</f>
        <v>De Kabel</v>
      </c>
      <c r="C30" s="501"/>
      <c r="D30" s="502"/>
      <c r="E30" s="114"/>
      <c r="F30" s="115"/>
      <c r="G30" s="116"/>
      <c r="I30" s="113"/>
      <c r="J30" s="500" t="str">
        <f>KWALIFICATIE!E33</f>
        <v>Team Bombert</v>
      </c>
      <c r="K30" s="501"/>
      <c r="L30" s="502"/>
      <c r="M30" s="114"/>
      <c r="N30" s="115"/>
      <c r="O30" s="116"/>
    </row>
    <row r="31" spans="1:15" ht="16.5" thickBot="1" x14ac:dyDescent="0.3">
      <c r="A31" s="90"/>
      <c r="B31" s="99"/>
      <c r="C31" s="99"/>
      <c r="D31" s="99"/>
      <c r="E31" s="99"/>
      <c r="F31" s="99"/>
      <c r="G31" s="91"/>
      <c r="I31" s="90"/>
      <c r="J31" s="99"/>
      <c r="K31" s="99"/>
      <c r="L31" s="99"/>
      <c r="M31" s="99"/>
      <c r="N31" s="99"/>
      <c r="O31" s="91"/>
    </row>
    <row r="32" spans="1:15" s="117" customFormat="1" ht="30" customHeight="1" thickBot="1" x14ac:dyDescent="0.35">
      <c r="A32" s="113"/>
      <c r="B32" s="500" t="str">
        <f>KWALIFICATIE!J32</f>
        <v>Om des Keijzers baerdt</v>
      </c>
      <c r="C32" s="501"/>
      <c r="D32" s="502"/>
      <c r="E32" s="114"/>
      <c r="F32" s="115"/>
      <c r="G32" s="116"/>
      <c r="I32" s="113"/>
      <c r="J32" s="500" t="str">
        <f>KWALIFICATIE!J33</f>
        <v>Jenever op de Schinkel</v>
      </c>
      <c r="K32" s="501"/>
      <c r="L32" s="502"/>
      <c r="M32" s="114"/>
      <c r="N32" s="115"/>
      <c r="O32" s="116"/>
    </row>
    <row r="33" spans="1:15" ht="12" customHeight="1" x14ac:dyDescent="0.25">
      <c r="A33" s="90"/>
      <c r="B33" s="99"/>
      <c r="C33" s="99"/>
      <c r="D33" s="99"/>
      <c r="E33" s="99"/>
      <c r="F33" s="99"/>
      <c r="G33" s="91"/>
      <c r="I33" s="90"/>
      <c r="J33" s="99"/>
      <c r="K33" s="99"/>
      <c r="L33" s="99"/>
      <c r="M33" s="99"/>
      <c r="N33" s="99"/>
      <c r="O33" s="91"/>
    </row>
    <row r="34" spans="1:15" ht="13.5" customHeight="1" x14ac:dyDescent="0.25">
      <c r="A34" s="90"/>
      <c r="B34" s="498" t="str">
        <f>B10</f>
        <v>SCOREKAART - HVC2016</v>
      </c>
      <c r="C34" s="498"/>
      <c r="D34" s="498"/>
      <c r="E34" s="498"/>
      <c r="F34" s="498"/>
      <c r="G34" s="91"/>
      <c r="I34" s="90"/>
      <c r="J34" s="498" t="str">
        <f>B10</f>
        <v>SCOREKAART - HVC2016</v>
      </c>
      <c r="K34" s="498"/>
      <c r="L34" s="498"/>
      <c r="M34" s="498"/>
      <c r="N34" s="498"/>
      <c r="O34" s="91"/>
    </row>
    <row r="35" spans="1:15" ht="12" customHeight="1" thickBot="1" x14ac:dyDescent="0.3">
      <c r="A35" s="101"/>
      <c r="B35" s="102"/>
      <c r="C35" s="102"/>
      <c r="D35" s="102"/>
      <c r="E35" s="102"/>
      <c r="F35" s="102"/>
      <c r="G35" s="103"/>
      <c r="I35" s="101"/>
      <c r="J35" s="102"/>
      <c r="K35" s="102"/>
      <c r="L35" s="102"/>
      <c r="M35" s="102"/>
      <c r="N35" s="102"/>
      <c r="O35" s="103"/>
    </row>
    <row r="36" spans="1:15" ht="14.1" customHeight="1" thickBot="1" x14ac:dyDescent="0.3">
      <c r="A36" s="107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7"/>
    </row>
    <row r="37" spans="1:15" ht="16.5" thickBot="1" x14ac:dyDescent="0.3">
      <c r="A37" s="86"/>
      <c r="B37" s="87"/>
      <c r="C37" s="87"/>
      <c r="D37" s="87"/>
      <c r="E37" s="87"/>
      <c r="F37" s="87"/>
      <c r="G37" s="88"/>
      <c r="I37" s="86"/>
      <c r="J37" s="87"/>
      <c r="K37" s="87"/>
      <c r="L37" s="87"/>
      <c r="M37" s="87"/>
      <c r="N37" s="87"/>
      <c r="O37" s="88"/>
    </row>
    <row r="38" spans="1:15" ht="20.100000000000001" customHeight="1" thickBot="1" x14ac:dyDescent="0.3">
      <c r="A38" s="90"/>
      <c r="B38" s="503" t="str">
        <f>B2</f>
        <v>KWALIFICATIE</v>
      </c>
      <c r="C38" s="504"/>
      <c r="D38" s="505"/>
      <c r="E38" s="106"/>
      <c r="F38" s="136" t="s">
        <v>23</v>
      </c>
      <c r="G38" s="91"/>
      <c r="I38" s="90"/>
      <c r="J38" s="503" t="str">
        <f>B2</f>
        <v>KWALIFICATIE</v>
      </c>
      <c r="K38" s="504"/>
      <c r="L38" s="505"/>
      <c r="M38" s="106"/>
      <c r="N38" s="105" t="str">
        <f>F38</f>
        <v>RONDE 2</v>
      </c>
      <c r="O38" s="91"/>
    </row>
    <row r="39" spans="1:15" ht="13.5" customHeight="1" thickBot="1" x14ac:dyDescent="0.3">
      <c r="A39" s="90"/>
      <c r="B39" s="92"/>
      <c r="C39" s="92"/>
      <c r="D39" s="92"/>
      <c r="E39" s="92"/>
      <c r="F39" s="93"/>
      <c r="G39" s="91"/>
      <c r="I39" s="90"/>
      <c r="J39" s="92"/>
      <c r="K39" s="92"/>
      <c r="L39" s="92"/>
      <c r="M39" s="92"/>
      <c r="N39" s="93"/>
      <c r="O39" s="91"/>
    </row>
    <row r="40" spans="1:15" ht="20.100000000000001" customHeight="1" thickBot="1" x14ac:dyDescent="0.3">
      <c r="A40" s="94"/>
      <c r="B40" s="499" t="str">
        <f>START!B3</f>
        <v>10:45 - 11:00 uur</v>
      </c>
      <c r="C40" s="496"/>
      <c r="D40" s="496"/>
      <c r="E40" s="497"/>
      <c r="F40" s="104" t="s">
        <v>249</v>
      </c>
      <c r="G40" s="95"/>
      <c r="H40" s="96"/>
      <c r="I40" s="94"/>
      <c r="J40" s="499" t="str">
        <f>B40</f>
        <v>10:45 - 11:00 uur</v>
      </c>
      <c r="K40" s="496"/>
      <c r="L40" s="496"/>
      <c r="M40" s="497"/>
      <c r="N40" s="104" t="s">
        <v>250</v>
      </c>
      <c r="O40" s="95"/>
    </row>
    <row r="41" spans="1:15" ht="13.5" customHeight="1" thickBot="1" x14ac:dyDescent="0.3">
      <c r="A41" s="90"/>
      <c r="B41" s="97"/>
      <c r="C41" s="92"/>
      <c r="D41" s="92"/>
      <c r="E41" s="92"/>
      <c r="F41" s="98"/>
      <c r="G41" s="91"/>
      <c r="I41" s="90"/>
      <c r="J41" s="97"/>
      <c r="K41" s="92"/>
      <c r="L41" s="92"/>
      <c r="M41" s="92"/>
      <c r="N41" s="98"/>
      <c r="O41" s="91"/>
    </row>
    <row r="42" spans="1:15" s="117" customFormat="1" ht="30" customHeight="1" thickBot="1" x14ac:dyDescent="0.35">
      <c r="A42" s="113"/>
      <c r="B42" s="500" t="str">
        <f>KWALIFICATIE!E36</f>
        <v>IAMB&amp;B</v>
      </c>
      <c r="C42" s="501"/>
      <c r="D42" s="502"/>
      <c r="E42" s="114"/>
      <c r="F42" s="115"/>
      <c r="G42" s="116"/>
      <c r="I42" s="113"/>
      <c r="J42" s="500" t="str">
        <f>KWALIFICATIE!E37</f>
        <v>Veddetero's klunzen</v>
      </c>
      <c r="K42" s="501"/>
      <c r="L42" s="502"/>
      <c r="M42" s="114"/>
      <c r="N42" s="115"/>
      <c r="O42" s="116"/>
    </row>
    <row r="43" spans="1:15" ht="16.5" thickBot="1" x14ac:dyDescent="0.3">
      <c r="A43" s="90"/>
      <c r="B43" s="99"/>
      <c r="C43" s="99"/>
      <c r="D43" s="99"/>
      <c r="E43" s="99"/>
      <c r="F43" s="99"/>
      <c r="G43" s="91"/>
      <c r="I43" s="90"/>
      <c r="J43" s="99"/>
      <c r="K43" s="99"/>
      <c r="L43" s="99"/>
      <c r="M43" s="99"/>
      <c r="N43" s="99"/>
      <c r="O43" s="91"/>
    </row>
    <row r="44" spans="1:15" s="117" customFormat="1" ht="30" customHeight="1" thickBot="1" x14ac:dyDescent="0.35">
      <c r="A44" s="113"/>
      <c r="B44" s="500" t="str">
        <f>KWALIFICATIE!J36</f>
        <v>FC Papa</v>
      </c>
      <c r="C44" s="501"/>
      <c r="D44" s="502"/>
      <c r="E44" s="114"/>
      <c r="F44" s="115"/>
      <c r="G44" s="116"/>
      <c r="I44" s="113"/>
      <c r="J44" s="500" t="str">
        <f>KWALIFICATIE!J37</f>
        <v>FC EPERNAY</v>
      </c>
      <c r="K44" s="501"/>
      <c r="L44" s="502"/>
      <c r="M44" s="114"/>
      <c r="N44" s="115"/>
      <c r="O44" s="116"/>
    </row>
    <row r="45" spans="1:15" ht="12" customHeight="1" x14ac:dyDescent="0.25">
      <c r="A45" s="90"/>
      <c r="B45" s="99"/>
      <c r="C45" s="99"/>
      <c r="D45" s="99"/>
      <c r="E45" s="99"/>
      <c r="F45" s="99"/>
      <c r="G45" s="91"/>
      <c r="I45" s="90"/>
      <c r="J45" s="99"/>
      <c r="K45" s="99"/>
      <c r="L45" s="99"/>
      <c r="M45" s="99"/>
      <c r="N45" s="99"/>
      <c r="O45" s="91"/>
    </row>
    <row r="46" spans="1:15" ht="13.5" customHeight="1" x14ac:dyDescent="0.25">
      <c r="A46" s="90"/>
      <c r="B46" s="498" t="str">
        <f>B10</f>
        <v>SCOREKAART - HVC2016</v>
      </c>
      <c r="C46" s="498"/>
      <c r="D46" s="498"/>
      <c r="E46" s="498"/>
      <c r="F46" s="498"/>
      <c r="G46" s="91"/>
      <c r="I46" s="90"/>
      <c r="J46" s="498" t="str">
        <f>B10</f>
        <v>SCOREKAART - HVC2016</v>
      </c>
      <c r="K46" s="498"/>
      <c r="L46" s="498"/>
      <c r="M46" s="498"/>
      <c r="N46" s="498"/>
      <c r="O46" s="91"/>
    </row>
    <row r="47" spans="1:15" ht="12" customHeight="1" thickBot="1" x14ac:dyDescent="0.3">
      <c r="A47" s="101"/>
      <c r="B47" s="102"/>
      <c r="C47" s="102"/>
      <c r="D47" s="102"/>
      <c r="E47" s="102"/>
      <c r="F47" s="102"/>
      <c r="G47" s="103"/>
      <c r="I47" s="101"/>
      <c r="J47" s="102"/>
      <c r="K47" s="102"/>
      <c r="L47" s="102"/>
      <c r="M47" s="102"/>
      <c r="N47" s="102"/>
      <c r="O47" s="103"/>
    </row>
    <row r="48" spans="1:15" ht="12" customHeight="1" thickBot="1" x14ac:dyDescent="0.3">
      <c r="A48" s="90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1"/>
    </row>
    <row r="49" spans="1:15" ht="16.5" thickBot="1" x14ac:dyDescent="0.3">
      <c r="A49" s="86"/>
      <c r="B49" s="87"/>
      <c r="C49" s="87"/>
      <c r="D49" s="87"/>
      <c r="E49" s="87"/>
      <c r="F49" s="87"/>
      <c r="G49" s="88"/>
      <c r="I49" s="86"/>
      <c r="J49" s="87"/>
      <c r="K49" s="87"/>
      <c r="L49" s="87"/>
      <c r="M49" s="87"/>
      <c r="N49" s="87"/>
      <c r="O49" s="88"/>
    </row>
    <row r="50" spans="1:15" ht="20.25" customHeight="1" thickBot="1" x14ac:dyDescent="0.3">
      <c r="A50" s="90"/>
      <c r="B50" s="506" t="str">
        <f>START!D3</f>
        <v>KWALIFICATIE</v>
      </c>
      <c r="C50" s="504"/>
      <c r="D50" s="505"/>
      <c r="E50" s="106"/>
      <c r="F50" s="105" t="s">
        <v>23</v>
      </c>
      <c r="G50" s="91"/>
      <c r="I50" s="90"/>
      <c r="J50" s="503" t="str">
        <f>B50</f>
        <v>KWALIFICATIE</v>
      </c>
      <c r="K50" s="504"/>
      <c r="L50" s="505"/>
      <c r="M50" s="106"/>
      <c r="N50" s="105" t="str">
        <f>F50</f>
        <v>RONDE 2</v>
      </c>
      <c r="O50" s="91"/>
    </row>
    <row r="51" spans="1:15" ht="9.75" customHeight="1" thickBot="1" x14ac:dyDescent="0.3">
      <c r="A51" s="90"/>
      <c r="B51" s="92"/>
      <c r="C51" s="92"/>
      <c r="D51" s="92"/>
      <c r="E51" s="92"/>
      <c r="F51" s="93"/>
      <c r="G51" s="91"/>
      <c r="I51" s="90"/>
      <c r="J51" s="92"/>
      <c r="K51" s="92"/>
      <c r="L51" s="92"/>
      <c r="M51" s="92"/>
      <c r="N51" s="93"/>
      <c r="O51" s="91"/>
    </row>
    <row r="52" spans="1:15" s="96" customFormat="1" ht="19.5" customHeight="1" thickBot="1" x14ac:dyDescent="0.3">
      <c r="A52" s="94"/>
      <c r="B52" s="499" t="str">
        <f>B40</f>
        <v>10:45 - 11:00 uur</v>
      </c>
      <c r="C52" s="496"/>
      <c r="D52" s="496"/>
      <c r="E52" s="497"/>
      <c r="F52" s="104" t="s">
        <v>251</v>
      </c>
      <c r="G52" s="95"/>
      <c r="I52" s="94"/>
      <c r="J52" s="499" t="str">
        <f>B40</f>
        <v>10:45 - 11:00 uur</v>
      </c>
      <c r="K52" s="496"/>
      <c r="L52" s="496"/>
      <c r="M52" s="497"/>
      <c r="N52" s="104" t="s">
        <v>252</v>
      </c>
      <c r="O52" s="95"/>
    </row>
    <row r="53" spans="1:15" ht="14.25" customHeight="1" thickBot="1" x14ac:dyDescent="0.3">
      <c r="A53" s="90"/>
      <c r="B53" s="97"/>
      <c r="C53" s="92"/>
      <c r="D53" s="92"/>
      <c r="E53" s="92"/>
      <c r="F53" s="98"/>
      <c r="G53" s="91"/>
      <c r="I53" s="90"/>
      <c r="J53" s="97"/>
      <c r="K53" s="92"/>
      <c r="L53" s="92"/>
      <c r="M53" s="92"/>
      <c r="N53" s="98"/>
      <c r="O53" s="91"/>
    </row>
    <row r="54" spans="1:15" ht="30" customHeight="1" thickBot="1" x14ac:dyDescent="0.35">
      <c r="A54" s="90"/>
      <c r="B54" s="500" t="str">
        <f>KWALIFICATIE!E38</f>
        <v>Carte blanche</v>
      </c>
      <c r="C54" s="501"/>
      <c r="D54" s="502"/>
      <c r="E54" s="99"/>
      <c r="F54" s="100"/>
      <c r="G54" s="91"/>
      <c r="I54" s="90"/>
      <c r="J54" s="500" t="str">
        <f>KWALIFICATIE!E39</f>
        <v>Monnie Represent</v>
      </c>
      <c r="K54" s="501"/>
      <c r="L54" s="502"/>
      <c r="M54" s="99"/>
      <c r="N54" s="100"/>
      <c r="O54" s="91"/>
    </row>
    <row r="55" spans="1:15" ht="16.5" thickBot="1" x14ac:dyDescent="0.3">
      <c r="A55" s="90"/>
      <c r="B55" s="99"/>
      <c r="C55" s="99"/>
      <c r="D55" s="99"/>
      <c r="E55" s="99"/>
      <c r="F55" s="99"/>
      <c r="G55" s="91"/>
      <c r="I55" s="90"/>
      <c r="J55" s="99"/>
      <c r="K55" s="99"/>
      <c r="L55" s="99"/>
      <c r="M55" s="99"/>
      <c r="N55" s="99"/>
      <c r="O55" s="91"/>
    </row>
    <row r="56" spans="1:15" ht="30" customHeight="1" thickBot="1" x14ac:dyDescent="0.35">
      <c r="A56" s="90"/>
      <c r="B56" s="500" t="str">
        <f>KWALIFICATIE!J38</f>
        <v>MAN ON F.C</v>
      </c>
      <c r="C56" s="501"/>
      <c r="D56" s="502"/>
      <c r="E56" s="99"/>
      <c r="F56" s="100"/>
      <c r="G56" s="91"/>
      <c r="I56" s="90"/>
      <c r="J56" s="500" t="str">
        <f>KWALIFICATIE!J39</f>
        <v>IRRIDUCIBILI</v>
      </c>
      <c r="K56" s="501"/>
      <c r="L56" s="502"/>
      <c r="M56" s="99"/>
      <c r="N56" s="100"/>
      <c r="O56" s="91"/>
    </row>
    <row r="57" spans="1:15" ht="12" customHeight="1" x14ac:dyDescent="0.25">
      <c r="A57" s="90"/>
      <c r="B57" s="99"/>
      <c r="C57" s="99"/>
      <c r="D57" s="99"/>
      <c r="E57" s="99"/>
      <c r="F57" s="99"/>
      <c r="G57" s="91"/>
      <c r="I57" s="90"/>
      <c r="J57" s="99"/>
      <c r="K57" s="99"/>
      <c r="L57" s="99"/>
      <c r="M57" s="99"/>
      <c r="N57" s="99"/>
      <c r="O57" s="91"/>
    </row>
    <row r="58" spans="1:15" ht="13.5" customHeight="1" x14ac:dyDescent="0.25">
      <c r="A58" s="90"/>
      <c r="B58" s="498" t="str">
        <f>START!A38</f>
        <v>SCOREKAART - HVC2016</v>
      </c>
      <c r="C58" s="498"/>
      <c r="D58" s="498"/>
      <c r="E58" s="498"/>
      <c r="F58" s="498"/>
      <c r="G58" s="91"/>
      <c r="I58" s="90"/>
      <c r="J58" s="498" t="str">
        <f>B58</f>
        <v>SCOREKAART - HVC2016</v>
      </c>
      <c r="K58" s="498"/>
      <c r="L58" s="498"/>
      <c r="M58" s="498"/>
      <c r="N58" s="498"/>
      <c r="O58" s="91"/>
    </row>
    <row r="59" spans="1:15" ht="11.25" customHeight="1" thickBot="1" x14ac:dyDescent="0.3">
      <c r="A59" s="101"/>
      <c r="B59" s="102"/>
      <c r="C59" s="102"/>
      <c r="D59" s="102"/>
      <c r="E59" s="102"/>
      <c r="F59" s="102"/>
      <c r="G59" s="103"/>
      <c r="I59" s="101"/>
      <c r="J59" s="102"/>
      <c r="K59" s="102"/>
      <c r="L59" s="102"/>
      <c r="M59" s="102"/>
      <c r="N59" s="102"/>
      <c r="O59" s="103"/>
    </row>
    <row r="60" spans="1:15" ht="13.5" customHeight="1" thickBot="1" x14ac:dyDescent="0.3">
      <c r="A60" s="99"/>
      <c r="B60" s="99"/>
      <c r="C60" s="99"/>
      <c r="D60" s="99"/>
      <c r="E60" s="99"/>
      <c r="F60" s="99"/>
      <c r="G60" s="99"/>
      <c r="I60" s="99"/>
      <c r="J60" s="99"/>
      <c r="K60" s="99"/>
      <c r="L60" s="99"/>
      <c r="M60" s="99"/>
      <c r="N60" s="99"/>
      <c r="O60" s="99"/>
    </row>
    <row r="61" spans="1:15" ht="16.5" thickBot="1" x14ac:dyDescent="0.3">
      <c r="A61" s="86"/>
      <c r="B61" s="87"/>
      <c r="C61" s="87"/>
      <c r="D61" s="87"/>
      <c r="E61" s="87"/>
      <c r="F61" s="87"/>
      <c r="G61" s="88"/>
      <c r="I61" s="86"/>
      <c r="J61" s="87"/>
      <c r="K61" s="87"/>
      <c r="L61" s="87"/>
      <c r="M61" s="87"/>
      <c r="N61" s="87"/>
      <c r="O61" s="88"/>
    </row>
    <row r="62" spans="1:15" ht="20.100000000000001" customHeight="1" thickBot="1" x14ac:dyDescent="0.3">
      <c r="A62" s="90"/>
      <c r="B62" s="503" t="str">
        <f>B50</f>
        <v>KWALIFICATIE</v>
      </c>
      <c r="C62" s="504"/>
      <c r="D62" s="505"/>
      <c r="E62" s="106"/>
      <c r="F62" s="105" t="str">
        <f>F50</f>
        <v>RONDE 2</v>
      </c>
      <c r="G62" s="91"/>
      <c r="I62" s="90"/>
      <c r="J62" s="503" t="str">
        <f>B50</f>
        <v>KWALIFICATIE</v>
      </c>
      <c r="K62" s="504"/>
      <c r="L62" s="505"/>
      <c r="M62" s="106"/>
      <c r="N62" s="105" t="str">
        <f>F50</f>
        <v>RONDE 2</v>
      </c>
      <c r="O62" s="91"/>
    </row>
    <row r="63" spans="1:15" ht="9.75" customHeight="1" thickBot="1" x14ac:dyDescent="0.3">
      <c r="A63" s="90"/>
      <c r="B63" s="92"/>
      <c r="C63" s="92"/>
      <c r="D63" s="92"/>
      <c r="E63" s="92"/>
      <c r="F63" s="93"/>
      <c r="G63" s="91"/>
      <c r="I63" s="90"/>
      <c r="J63" s="92"/>
      <c r="K63" s="92"/>
      <c r="L63" s="92"/>
      <c r="M63" s="92"/>
      <c r="N63" s="93"/>
      <c r="O63" s="91"/>
    </row>
    <row r="64" spans="1:15" ht="20.100000000000001" customHeight="1" thickBot="1" x14ac:dyDescent="0.3">
      <c r="A64" s="94"/>
      <c r="B64" s="495" t="str">
        <f>B52</f>
        <v>10:45 - 11:00 uur</v>
      </c>
      <c r="C64" s="496"/>
      <c r="D64" s="496"/>
      <c r="E64" s="497"/>
      <c r="F64" s="104" t="s">
        <v>253</v>
      </c>
      <c r="G64" s="95"/>
      <c r="H64" s="96"/>
      <c r="I64" s="94"/>
      <c r="J64" s="495" t="str">
        <f>B52</f>
        <v>10:45 - 11:00 uur</v>
      </c>
      <c r="K64" s="496"/>
      <c r="L64" s="496"/>
      <c r="M64" s="497"/>
      <c r="N64" s="104" t="s">
        <v>254</v>
      </c>
      <c r="O64" s="95"/>
    </row>
    <row r="65" spans="1:15" ht="13.5" customHeight="1" thickBot="1" x14ac:dyDescent="0.3">
      <c r="A65" s="90"/>
      <c r="B65" s="97"/>
      <c r="C65" s="92"/>
      <c r="D65" s="92"/>
      <c r="E65" s="92"/>
      <c r="F65" s="98"/>
      <c r="G65" s="91"/>
      <c r="I65" s="90"/>
      <c r="J65" s="97"/>
      <c r="K65" s="92"/>
      <c r="L65" s="92"/>
      <c r="M65" s="92"/>
      <c r="N65" s="98"/>
      <c r="O65" s="91"/>
    </row>
    <row r="66" spans="1:15" ht="29.25" customHeight="1" thickBot="1" x14ac:dyDescent="0.35">
      <c r="A66" s="90"/>
      <c r="B66" s="500" t="str">
        <f>KWALIFICATIE!E40</f>
        <v>Scherp Online</v>
      </c>
      <c r="C66" s="501"/>
      <c r="D66" s="502"/>
      <c r="E66" s="99"/>
      <c r="F66" s="100"/>
      <c r="G66" s="91"/>
      <c r="I66" s="90"/>
      <c r="J66" s="500" t="str">
        <f>KWALIFICATIE!E41</f>
        <v>#illuminaticonfirmed</v>
      </c>
      <c r="K66" s="501"/>
      <c r="L66" s="502"/>
      <c r="M66" s="99"/>
      <c r="N66" s="100"/>
      <c r="O66" s="91"/>
    </row>
    <row r="67" spans="1:15" ht="16.5" thickBot="1" x14ac:dyDescent="0.3">
      <c r="A67" s="90"/>
      <c r="B67" s="99"/>
      <c r="C67" s="99"/>
      <c r="D67" s="99"/>
      <c r="E67" s="99"/>
      <c r="F67" s="99"/>
      <c r="G67" s="91"/>
      <c r="I67" s="90"/>
      <c r="J67" s="99"/>
      <c r="K67" s="99"/>
      <c r="L67" s="99"/>
      <c r="M67" s="99"/>
      <c r="N67" s="99"/>
      <c r="O67" s="91"/>
    </row>
    <row r="68" spans="1:15" ht="30" customHeight="1" thickBot="1" x14ac:dyDescent="0.35">
      <c r="A68" s="90"/>
      <c r="B68" s="500" t="str">
        <f>KWALIFICATIE!J40</f>
        <v>Sammi's Sweathearts</v>
      </c>
      <c r="C68" s="501"/>
      <c r="D68" s="502"/>
      <c r="E68" s="99"/>
      <c r="F68" s="100"/>
      <c r="G68" s="91"/>
      <c r="I68" s="90"/>
      <c r="J68" s="500" t="str">
        <f>KWALIFICATIE!J41</f>
        <v>Fred Bacon Zalf-fabriekje</v>
      </c>
      <c r="K68" s="501"/>
      <c r="L68" s="502"/>
      <c r="M68" s="99"/>
      <c r="N68" s="100"/>
      <c r="O68" s="91"/>
    </row>
    <row r="69" spans="1:15" ht="12" customHeight="1" x14ac:dyDescent="0.25">
      <c r="A69" s="90"/>
      <c r="B69" s="99"/>
      <c r="C69" s="99"/>
      <c r="D69" s="99"/>
      <c r="E69" s="99"/>
      <c r="F69" s="99"/>
      <c r="G69" s="91"/>
      <c r="I69" s="90"/>
      <c r="J69" s="99"/>
      <c r="K69" s="99"/>
      <c r="L69" s="99"/>
      <c r="M69" s="99"/>
      <c r="N69" s="99"/>
      <c r="O69" s="91"/>
    </row>
    <row r="70" spans="1:15" ht="13.5" customHeight="1" x14ac:dyDescent="0.25">
      <c r="A70" s="90"/>
      <c r="B70" s="498" t="str">
        <f>B58</f>
        <v>SCOREKAART - HVC2016</v>
      </c>
      <c r="C70" s="498"/>
      <c r="D70" s="498"/>
      <c r="E70" s="498"/>
      <c r="F70" s="498"/>
      <c r="G70" s="91"/>
      <c r="I70" s="90"/>
      <c r="J70" s="498" t="str">
        <f>B58</f>
        <v>SCOREKAART - HVC2016</v>
      </c>
      <c r="K70" s="498"/>
      <c r="L70" s="498"/>
      <c r="M70" s="498"/>
      <c r="N70" s="498"/>
      <c r="O70" s="91"/>
    </row>
    <row r="71" spans="1:15" ht="11.25" customHeight="1" thickBot="1" x14ac:dyDescent="0.3">
      <c r="A71" s="101"/>
      <c r="B71" s="102"/>
      <c r="C71" s="102"/>
      <c r="D71" s="102"/>
      <c r="E71" s="102"/>
      <c r="F71" s="102"/>
      <c r="G71" s="103"/>
      <c r="I71" s="101"/>
      <c r="J71" s="102"/>
      <c r="K71" s="102"/>
      <c r="L71" s="102"/>
      <c r="M71" s="102"/>
      <c r="N71" s="102"/>
      <c r="O71" s="103"/>
    </row>
    <row r="72" spans="1:15" ht="14.1" customHeight="1" thickBot="1" x14ac:dyDescent="0.3">
      <c r="A72" s="107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7"/>
    </row>
    <row r="73" spans="1:15" ht="16.5" customHeight="1" thickBot="1" x14ac:dyDescent="0.3">
      <c r="A73" s="86"/>
      <c r="B73" s="87"/>
      <c r="C73" s="87"/>
      <c r="D73" s="87"/>
      <c r="E73" s="87"/>
      <c r="F73" s="87"/>
      <c r="G73" s="88"/>
      <c r="I73" s="86"/>
      <c r="J73" s="87"/>
      <c r="K73" s="87"/>
      <c r="L73" s="87"/>
      <c r="M73" s="87"/>
      <c r="N73" s="87"/>
      <c r="O73" s="88"/>
    </row>
    <row r="74" spans="1:15" ht="20.100000000000001" customHeight="1" thickBot="1" x14ac:dyDescent="0.3">
      <c r="A74" s="90"/>
      <c r="B74" s="503" t="str">
        <f>B50</f>
        <v>KWALIFICATIE</v>
      </c>
      <c r="C74" s="504"/>
      <c r="D74" s="505"/>
      <c r="E74" s="106"/>
      <c r="F74" s="136" t="s">
        <v>25</v>
      </c>
      <c r="G74" s="91"/>
      <c r="I74" s="90"/>
      <c r="J74" s="503" t="str">
        <f>B50</f>
        <v>KWALIFICATIE</v>
      </c>
      <c r="K74" s="504"/>
      <c r="L74" s="505"/>
      <c r="M74" s="106"/>
      <c r="N74" s="105" t="str">
        <f>F74</f>
        <v>RONDE 3</v>
      </c>
      <c r="O74" s="91"/>
    </row>
    <row r="75" spans="1:15" ht="13.5" customHeight="1" thickBot="1" x14ac:dyDescent="0.3">
      <c r="A75" s="90"/>
      <c r="B75" s="92"/>
      <c r="C75" s="92"/>
      <c r="D75" s="92"/>
      <c r="E75" s="92"/>
      <c r="F75" s="93"/>
      <c r="G75" s="91"/>
      <c r="I75" s="90"/>
      <c r="J75" s="92"/>
      <c r="K75" s="92"/>
      <c r="L75" s="92"/>
      <c r="M75" s="92"/>
      <c r="N75" s="93"/>
      <c r="O75" s="91"/>
    </row>
    <row r="76" spans="1:15" ht="20.100000000000001" customHeight="1" thickBot="1" x14ac:dyDescent="0.3">
      <c r="A76" s="94"/>
      <c r="B76" s="495" t="str">
        <f>START!B4</f>
        <v>11:00 - 11:15 uur</v>
      </c>
      <c r="C76" s="496"/>
      <c r="D76" s="496"/>
      <c r="E76" s="497"/>
      <c r="F76" s="104" t="s">
        <v>249</v>
      </c>
      <c r="G76" s="95"/>
      <c r="H76" s="96"/>
      <c r="I76" s="94"/>
      <c r="J76" s="495" t="str">
        <f>B76</f>
        <v>11:00 - 11:15 uur</v>
      </c>
      <c r="K76" s="496"/>
      <c r="L76" s="496"/>
      <c r="M76" s="497"/>
      <c r="N76" s="104" t="s">
        <v>250</v>
      </c>
      <c r="O76" s="95"/>
    </row>
    <row r="77" spans="1:15" ht="13.5" customHeight="1" thickBot="1" x14ac:dyDescent="0.3">
      <c r="A77" s="90"/>
      <c r="B77" s="97"/>
      <c r="C77" s="92"/>
      <c r="D77" s="92"/>
      <c r="E77" s="92"/>
      <c r="F77" s="98"/>
      <c r="G77" s="91"/>
      <c r="I77" s="90"/>
      <c r="J77" s="97"/>
      <c r="K77" s="92"/>
      <c r="L77" s="92"/>
      <c r="M77" s="92"/>
      <c r="N77" s="98"/>
      <c r="O77" s="91"/>
    </row>
    <row r="78" spans="1:15" ht="30" customHeight="1" thickBot="1" x14ac:dyDescent="0.35">
      <c r="A78" s="90"/>
      <c r="B78" s="500" t="str">
        <f>KWALIFICATIE!E44</f>
        <v>Correctie veld 4</v>
      </c>
      <c r="C78" s="501"/>
      <c r="D78" s="502"/>
      <c r="E78" s="99"/>
      <c r="F78" s="100"/>
      <c r="G78" s="91"/>
      <c r="I78" s="90"/>
      <c r="J78" s="500" t="str">
        <f>KWALIFICATIE!E45</f>
        <v>Patti don't shout @ me</v>
      </c>
      <c r="K78" s="501"/>
      <c r="L78" s="502"/>
      <c r="M78" s="99"/>
      <c r="N78" s="100"/>
      <c r="O78" s="91"/>
    </row>
    <row r="79" spans="1:15" ht="16.5" thickBot="1" x14ac:dyDescent="0.3">
      <c r="A79" s="90"/>
      <c r="B79" s="99"/>
      <c r="C79" s="99"/>
      <c r="D79" s="99"/>
      <c r="E79" s="99"/>
      <c r="F79" s="99"/>
      <c r="G79" s="91"/>
      <c r="I79" s="90"/>
      <c r="J79" s="99"/>
      <c r="K79" s="99"/>
      <c r="L79" s="99"/>
      <c r="M79" s="99"/>
      <c r="N79" s="99"/>
      <c r="O79" s="91"/>
    </row>
    <row r="80" spans="1:15" ht="30" customHeight="1" thickBot="1" x14ac:dyDescent="0.35">
      <c r="A80" s="90"/>
      <c r="B80" s="500" t="str">
        <f>KWALIFICATIE!J44</f>
        <v>Combiwel</v>
      </c>
      <c r="C80" s="501"/>
      <c r="D80" s="502"/>
      <c r="E80" s="99"/>
      <c r="F80" s="100"/>
      <c r="G80" s="91"/>
      <c r="I80" s="90"/>
      <c r="J80" s="500" t="str">
        <f>KWALIFICATIE!J45</f>
        <v>Swiffie 5</v>
      </c>
      <c r="K80" s="501"/>
      <c r="L80" s="502"/>
      <c r="M80" s="99"/>
      <c r="N80" s="100"/>
      <c r="O80" s="91"/>
    </row>
    <row r="81" spans="1:15" ht="12" customHeight="1" x14ac:dyDescent="0.25">
      <c r="A81" s="90"/>
      <c r="B81" s="99"/>
      <c r="C81" s="99"/>
      <c r="D81" s="99"/>
      <c r="E81" s="99"/>
      <c r="F81" s="99"/>
      <c r="G81" s="91"/>
      <c r="I81" s="90"/>
      <c r="J81" s="99"/>
      <c r="K81" s="99"/>
      <c r="L81" s="99"/>
      <c r="M81" s="99"/>
      <c r="N81" s="99"/>
      <c r="O81" s="91"/>
    </row>
    <row r="82" spans="1:15" ht="13.5" customHeight="1" x14ac:dyDescent="0.25">
      <c r="A82" s="90"/>
      <c r="B82" s="498" t="str">
        <f>B58</f>
        <v>SCOREKAART - HVC2016</v>
      </c>
      <c r="C82" s="498"/>
      <c r="D82" s="498"/>
      <c r="E82" s="498"/>
      <c r="F82" s="498"/>
      <c r="G82" s="91"/>
      <c r="I82" s="90"/>
      <c r="J82" s="498" t="str">
        <f>B58</f>
        <v>SCOREKAART - HVC2016</v>
      </c>
      <c r="K82" s="498"/>
      <c r="L82" s="498"/>
      <c r="M82" s="498"/>
      <c r="N82" s="498"/>
      <c r="O82" s="91"/>
    </row>
    <row r="83" spans="1:15" ht="12" customHeight="1" thickBot="1" x14ac:dyDescent="0.3">
      <c r="A83" s="101"/>
      <c r="B83" s="102"/>
      <c r="C83" s="102"/>
      <c r="D83" s="102"/>
      <c r="E83" s="102"/>
      <c r="F83" s="102"/>
      <c r="G83" s="103"/>
      <c r="I83" s="101"/>
      <c r="J83" s="102"/>
      <c r="K83" s="102"/>
      <c r="L83" s="102"/>
      <c r="M83" s="102"/>
      <c r="N83" s="102"/>
      <c r="O83" s="103"/>
    </row>
    <row r="84" spans="1:15" ht="14.1" customHeight="1" thickBot="1" x14ac:dyDescent="0.3">
      <c r="A84" s="107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107"/>
    </row>
    <row r="85" spans="1:15" ht="16.5" thickBot="1" x14ac:dyDescent="0.3">
      <c r="A85" s="86"/>
      <c r="B85" s="87"/>
      <c r="C85" s="87"/>
      <c r="D85" s="87"/>
      <c r="E85" s="87"/>
      <c r="F85" s="87"/>
      <c r="G85" s="88"/>
      <c r="I85" s="86"/>
      <c r="J85" s="87"/>
      <c r="K85" s="87"/>
      <c r="L85" s="87"/>
      <c r="M85" s="87"/>
      <c r="N85" s="87"/>
      <c r="O85" s="88"/>
    </row>
    <row r="86" spans="1:15" ht="20.100000000000001" customHeight="1" thickBot="1" x14ac:dyDescent="0.3">
      <c r="A86" s="90"/>
      <c r="B86" s="503" t="str">
        <f>B50</f>
        <v>KWALIFICATIE</v>
      </c>
      <c r="C86" s="504"/>
      <c r="D86" s="505"/>
      <c r="E86" s="106"/>
      <c r="F86" s="105" t="str">
        <f>F74</f>
        <v>RONDE 3</v>
      </c>
      <c r="G86" s="91"/>
      <c r="I86" s="90"/>
      <c r="J86" s="503" t="str">
        <f>B50</f>
        <v>KWALIFICATIE</v>
      </c>
      <c r="K86" s="504"/>
      <c r="L86" s="505"/>
      <c r="M86" s="106"/>
      <c r="N86" s="105" t="str">
        <f>F74</f>
        <v>RONDE 3</v>
      </c>
      <c r="O86" s="91"/>
    </row>
    <row r="87" spans="1:15" ht="13.5" customHeight="1" thickBot="1" x14ac:dyDescent="0.3">
      <c r="A87" s="90"/>
      <c r="B87" s="92"/>
      <c r="C87" s="92"/>
      <c r="D87" s="92"/>
      <c r="E87" s="92"/>
      <c r="F87" s="93"/>
      <c r="G87" s="91"/>
      <c r="I87" s="90"/>
      <c r="J87" s="92"/>
      <c r="K87" s="92"/>
      <c r="L87" s="92"/>
      <c r="M87" s="92"/>
      <c r="N87" s="93"/>
      <c r="O87" s="91"/>
    </row>
    <row r="88" spans="1:15" ht="20.100000000000001" customHeight="1" thickBot="1" x14ac:dyDescent="0.3">
      <c r="A88" s="94"/>
      <c r="B88" s="495" t="str">
        <f>B76</f>
        <v>11:00 - 11:15 uur</v>
      </c>
      <c r="C88" s="496"/>
      <c r="D88" s="496"/>
      <c r="E88" s="497"/>
      <c r="F88" s="104" t="s">
        <v>251</v>
      </c>
      <c r="G88" s="95"/>
      <c r="H88" s="96"/>
      <c r="I88" s="94"/>
      <c r="J88" s="495" t="str">
        <f>B76</f>
        <v>11:00 - 11:15 uur</v>
      </c>
      <c r="K88" s="496"/>
      <c r="L88" s="496"/>
      <c r="M88" s="497"/>
      <c r="N88" s="104" t="s">
        <v>252</v>
      </c>
      <c r="O88" s="95"/>
    </row>
    <row r="89" spans="1:15" ht="13.5" customHeight="1" thickBot="1" x14ac:dyDescent="0.3">
      <c r="A89" s="90"/>
      <c r="B89" s="97"/>
      <c r="C89" s="92"/>
      <c r="D89" s="92"/>
      <c r="E89" s="92"/>
      <c r="F89" s="98"/>
      <c r="G89" s="91"/>
      <c r="I89" s="90"/>
      <c r="J89" s="97"/>
      <c r="K89" s="92"/>
      <c r="L89" s="92"/>
      <c r="M89" s="92"/>
      <c r="N89" s="98"/>
      <c r="O89" s="91"/>
    </row>
    <row r="90" spans="1:15" ht="30" customHeight="1" thickBot="1" x14ac:dyDescent="0.35">
      <c r="A90" s="90"/>
      <c r="B90" s="500" t="str">
        <f>KWALIFICATIE!E46</f>
        <v>FC Isjeneefer</v>
      </c>
      <c r="C90" s="501"/>
      <c r="D90" s="502"/>
      <c r="F90" s="100"/>
      <c r="J90" s="500" t="str">
        <f>KWALIFICATIE!E47</f>
        <v>Orion</v>
      </c>
      <c r="K90" s="501"/>
      <c r="L90" s="502"/>
      <c r="M90" s="99"/>
      <c r="N90" s="100"/>
      <c r="O90" s="91"/>
    </row>
    <row r="91" spans="1:15" ht="16.5" thickBot="1" x14ac:dyDescent="0.3">
      <c r="A91" s="90"/>
      <c r="B91" s="99"/>
      <c r="C91" s="99"/>
      <c r="D91" s="99"/>
      <c r="F91" s="99"/>
      <c r="J91" s="99"/>
      <c r="K91" s="99"/>
      <c r="L91" s="99"/>
      <c r="M91" s="99"/>
      <c r="N91" s="99"/>
      <c r="O91" s="91"/>
    </row>
    <row r="92" spans="1:15" ht="30" customHeight="1" thickBot="1" x14ac:dyDescent="0.35">
      <c r="A92" s="90"/>
      <c r="B92" s="500" t="str">
        <f>KWALIFICATIE!J46</f>
        <v>Kampongveldert</v>
      </c>
      <c r="C92" s="501"/>
      <c r="D92" s="502"/>
      <c r="F92" s="100"/>
      <c r="J92" s="500" t="str">
        <f>KWALIFICATIE!J47</f>
        <v>Wart6</v>
      </c>
      <c r="K92" s="501"/>
      <c r="L92" s="502"/>
      <c r="M92" s="99"/>
      <c r="N92" s="100"/>
      <c r="O92" s="91"/>
    </row>
    <row r="93" spans="1:15" ht="12" customHeight="1" x14ac:dyDescent="0.25">
      <c r="A93" s="90"/>
      <c r="B93" s="99"/>
      <c r="C93" s="99"/>
      <c r="D93" s="99"/>
      <c r="E93" s="99"/>
      <c r="F93" s="99"/>
      <c r="G93" s="91"/>
      <c r="I93" s="90"/>
      <c r="J93" s="99"/>
      <c r="K93" s="99"/>
      <c r="L93" s="99"/>
      <c r="M93" s="99"/>
      <c r="N93" s="99"/>
      <c r="O93" s="91"/>
    </row>
    <row r="94" spans="1:15" ht="13.5" customHeight="1" x14ac:dyDescent="0.25">
      <c r="A94" s="90"/>
      <c r="B94" s="498" t="str">
        <f>B58</f>
        <v>SCOREKAART - HVC2016</v>
      </c>
      <c r="C94" s="498"/>
      <c r="D94" s="498"/>
      <c r="E94" s="498"/>
      <c r="F94" s="498"/>
      <c r="G94" s="91"/>
      <c r="I94" s="90"/>
      <c r="J94" s="498" t="str">
        <f>B58</f>
        <v>SCOREKAART - HVC2016</v>
      </c>
      <c r="K94" s="498"/>
      <c r="L94" s="498"/>
      <c r="M94" s="498"/>
      <c r="N94" s="498"/>
      <c r="O94" s="91"/>
    </row>
    <row r="95" spans="1:15" ht="12" customHeight="1" thickBot="1" x14ac:dyDescent="0.3">
      <c r="A95" s="101"/>
      <c r="B95" s="102"/>
      <c r="C95" s="102"/>
      <c r="D95" s="102"/>
      <c r="E95" s="102"/>
      <c r="F95" s="102"/>
      <c r="G95" s="103"/>
      <c r="I95" s="101"/>
      <c r="J95" s="102"/>
      <c r="K95" s="102"/>
      <c r="L95" s="102"/>
      <c r="M95" s="102"/>
      <c r="N95" s="102"/>
      <c r="O95" s="103"/>
    </row>
    <row r="96" spans="1:15" ht="16.5" thickBot="1" x14ac:dyDescent="0.3">
      <c r="A96" s="86"/>
      <c r="B96" s="87"/>
      <c r="C96" s="87"/>
      <c r="D96" s="87"/>
      <c r="E96" s="87"/>
      <c r="F96" s="87"/>
      <c r="G96" s="88"/>
      <c r="I96" s="86"/>
      <c r="J96" s="87"/>
      <c r="K96" s="87"/>
      <c r="L96" s="87"/>
      <c r="M96" s="87"/>
      <c r="N96" s="87"/>
      <c r="O96" s="88"/>
    </row>
    <row r="97" spans="1:15" ht="20.25" customHeight="1" thickBot="1" x14ac:dyDescent="0.3">
      <c r="A97" s="90"/>
      <c r="B97" s="506" t="str">
        <f>START!D4</f>
        <v>KWALIFICATIE</v>
      </c>
      <c r="C97" s="504"/>
      <c r="D97" s="505"/>
      <c r="E97" s="106"/>
      <c r="F97" s="105" t="s">
        <v>25</v>
      </c>
      <c r="G97" s="91"/>
      <c r="I97" s="90"/>
      <c r="J97" s="503" t="str">
        <f>B97</f>
        <v>KWALIFICATIE</v>
      </c>
      <c r="K97" s="504"/>
      <c r="L97" s="505"/>
      <c r="M97" s="106"/>
      <c r="N97" s="105" t="str">
        <f>F97</f>
        <v>RONDE 3</v>
      </c>
      <c r="O97" s="91"/>
    </row>
    <row r="98" spans="1:15" ht="9.75" customHeight="1" thickBot="1" x14ac:dyDescent="0.3">
      <c r="A98" s="90"/>
      <c r="B98" s="92"/>
      <c r="C98" s="92"/>
      <c r="D98" s="92"/>
      <c r="E98" s="92"/>
      <c r="F98" s="93"/>
      <c r="G98" s="91"/>
      <c r="I98" s="90"/>
      <c r="J98" s="92"/>
      <c r="K98" s="92"/>
      <c r="L98" s="92"/>
      <c r="M98" s="92"/>
      <c r="N98" s="93"/>
      <c r="O98" s="91"/>
    </row>
    <row r="99" spans="1:15" s="96" customFormat="1" ht="19.5" customHeight="1" thickBot="1" x14ac:dyDescent="0.3">
      <c r="A99" s="94"/>
      <c r="B99" s="499" t="str">
        <f>B88</f>
        <v>11:00 - 11:15 uur</v>
      </c>
      <c r="C99" s="496"/>
      <c r="D99" s="496"/>
      <c r="E99" s="497"/>
      <c r="F99" s="104" t="s">
        <v>253</v>
      </c>
      <c r="G99" s="95"/>
      <c r="I99" s="94"/>
      <c r="J99" s="495" t="str">
        <f>B99</f>
        <v>11:00 - 11:15 uur</v>
      </c>
      <c r="K99" s="496"/>
      <c r="L99" s="496"/>
      <c r="M99" s="497"/>
      <c r="N99" s="104" t="s">
        <v>254</v>
      </c>
      <c r="O99" s="95"/>
    </row>
    <row r="100" spans="1:15" ht="14.25" customHeight="1" thickBot="1" x14ac:dyDescent="0.3">
      <c r="A100" s="90"/>
      <c r="B100" s="97"/>
      <c r="C100" s="92"/>
      <c r="D100" s="92"/>
      <c r="E100" s="92"/>
      <c r="F100" s="98"/>
      <c r="G100" s="91"/>
      <c r="I100" s="90"/>
      <c r="J100" s="97"/>
      <c r="K100" s="92"/>
      <c r="L100" s="92"/>
      <c r="M100" s="92"/>
      <c r="N100" s="98"/>
      <c r="O100" s="91"/>
    </row>
    <row r="101" spans="1:15" s="117" customFormat="1" ht="30" customHeight="1" thickBot="1" x14ac:dyDescent="0.35">
      <c r="A101" s="113"/>
      <c r="B101" s="500" t="str">
        <f>KWALIFICATIE!E48</f>
        <v>De Torpedo's</v>
      </c>
      <c r="C101" s="501"/>
      <c r="D101" s="502"/>
      <c r="E101" s="114"/>
      <c r="F101" s="115"/>
      <c r="G101" s="116"/>
      <c r="I101" s="113"/>
      <c r="J101" s="500" t="str">
        <f>KWALIFICATIE!E49</f>
        <v xml:space="preserve">De Pintjes </v>
      </c>
      <c r="K101" s="501"/>
      <c r="L101" s="502"/>
      <c r="M101" s="114"/>
      <c r="N101" s="115"/>
      <c r="O101" s="116"/>
    </row>
    <row r="102" spans="1:15" ht="16.5" thickBot="1" x14ac:dyDescent="0.3">
      <c r="A102" s="90"/>
      <c r="B102" s="99"/>
      <c r="C102" s="99"/>
      <c r="D102" s="99"/>
      <c r="E102" s="99"/>
      <c r="F102" s="99"/>
      <c r="G102" s="91"/>
      <c r="I102" s="90"/>
      <c r="J102" s="99"/>
      <c r="K102" s="99"/>
      <c r="L102" s="99"/>
      <c r="M102" s="99"/>
      <c r="N102" s="99"/>
      <c r="O102" s="91"/>
    </row>
    <row r="103" spans="1:15" s="117" customFormat="1" ht="30" customHeight="1" thickBot="1" x14ac:dyDescent="0.35">
      <c r="A103" s="113"/>
      <c r="B103" s="500" t="str">
        <f>KWALIFICATIE!J48</f>
        <v>AccentSport Rakkers</v>
      </c>
      <c r="C103" s="501"/>
      <c r="D103" s="502"/>
      <c r="E103" s="114"/>
      <c r="F103" s="115"/>
      <c r="G103" s="116"/>
      <c r="I103" s="113"/>
      <c r="J103" s="500" t="str">
        <f>KWALIFICATIE!J49</f>
        <v>Het Bestuur</v>
      </c>
      <c r="K103" s="501"/>
      <c r="L103" s="502"/>
      <c r="M103" s="114"/>
      <c r="N103" s="115"/>
      <c r="O103" s="116"/>
    </row>
    <row r="104" spans="1:15" ht="12" customHeight="1" x14ac:dyDescent="0.25">
      <c r="A104" s="90"/>
      <c r="B104" s="99"/>
      <c r="C104" s="99"/>
      <c r="D104" s="99"/>
      <c r="E104" s="99"/>
      <c r="F104" s="99"/>
      <c r="G104" s="91"/>
      <c r="I104" s="90"/>
      <c r="J104" s="99"/>
      <c r="K104" s="99"/>
      <c r="L104" s="99"/>
      <c r="M104" s="99"/>
      <c r="N104" s="99"/>
      <c r="O104" s="91"/>
    </row>
    <row r="105" spans="1:15" ht="13.5" customHeight="1" x14ac:dyDescent="0.25">
      <c r="A105" s="90"/>
      <c r="B105" s="498" t="str">
        <f>B94</f>
        <v>SCOREKAART - HVC2016</v>
      </c>
      <c r="C105" s="498"/>
      <c r="D105" s="498"/>
      <c r="E105" s="498"/>
      <c r="F105" s="498"/>
      <c r="G105" s="91"/>
      <c r="I105" s="90"/>
      <c r="J105" s="498" t="str">
        <f>B105</f>
        <v>SCOREKAART - HVC2016</v>
      </c>
      <c r="K105" s="498"/>
      <c r="L105" s="498"/>
      <c r="M105" s="498"/>
      <c r="N105" s="498"/>
      <c r="O105" s="91"/>
    </row>
    <row r="106" spans="1:15" ht="11.25" customHeight="1" thickBot="1" x14ac:dyDescent="0.3">
      <c r="A106" s="101"/>
      <c r="B106" s="102"/>
      <c r="C106" s="102"/>
      <c r="D106" s="102"/>
      <c r="E106" s="102"/>
      <c r="F106" s="102"/>
      <c r="G106" s="103"/>
      <c r="I106" s="101"/>
      <c r="J106" s="102"/>
      <c r="K106" s="102"/>
      <c r="L106" s="102"/>
      <c r="M106" s="102"/>
      <c r="N106" s="102"/>
      <c r="O106" s="103"/>
    </row>
    <row r="107" spans="1:15" ht="13.5" customHeight="1" thickBot="1" x14ac:dyDescent="0.3">
      <c r="A107" s="99"/>
      <c r="B107" s="99"/>
      <c r="C107" s="99"/>
      <c r="D107" s="99"/>
      <c r="E107" s="99"/>
      <c r="F107" s="99"/>
      <c r="G107" s="99"/>
      <c r="I107" s="99"/>
      <c r="J107" s="99"/>
      <c r="K107" s="99"/>
      <c r="L107" s="99"/>
      <c r="M107" s="99"/>
      <c r="N107" s="99"/>
      <c r="O107" s="99"/>
    </row>
    <row r="108" spans="1:15" ht="16.5" thickBot="1" x14ac:dyDescent="0.3">
      <c r="A108" s="86"/>
      <c r="B108" s="87"/>
      <c r="C108" s="87"/>
      <c r="D108" s="87"/>
      <c r="E108" s="87"/>
      <c r="F108" s="87"/>
      <c r="G108" s="88"/>
      <c r="I108" s="86"/>
      <c r="J108" s="87"/>
      <c r="K108" s="87"/>
      <c r="L108" s="87"/>
      <c r="M108" s="87"/>
      <c r="N108" s="87"/>
      <c r="O108" s="88"/>
    </row>
    <row r="109" spans="1:15" ht="20.100000000000001" customHeight="1" thickBot="1" x14ac:dyDescent="0.3">
      <c r="A109" s="90"/>
      <c r="B109" s="503" t="str">
        <f>B97</f>
        <v>KWALIFICATIE</v>
      </c>
      <c r="C109" s="504"/>
      <c r="D109" s="505"/>
      <c r="E109" s="106"/>
      <c r="F109" s="136" t="s">
        <v>27</v>
      </c>
      <c r="G109" s="91"/>
      <c r="I109" s="90"/>
      <c r="J109" s="503" t="str">
        <f>B97</f>
        <v>KWALIFICATIE</v>
      </c>
      <c r="K109" s="504"/>
      <c r="L109" s="505"/>
      <c r="M109" s="106"/>
      <c r="N109" s="105" t="str">
        <f>F109</f>
        <v>RONDE 4</v>
      </c>
      <c r="O109" s="91"/>
    </row>
    <row r="110" spans="1:15" ht="9.75" customHeight="1" thickBot="1" x14ac:dyDescent="0.3">
      <c r="A110" s="90"/>
      <c r="B110" s="92"/>
      <c r="C110" s="92"/>
      <c r="D110" s="92"/>
      <c r="E110" s="92"/>
      <c r="F110" s="93"/>
      <c r="G110" s="91"/>
      <c r="I110" s="90"/>
      <c r="J110" s="92"/>
      <c r="K110" s="92"/>
      <c r="L110" s="92"/>
      <c r="M110" s="92"/>
      <c r="N110" s="93"/>
      <c r="O110" s="91"/>
    </row>
    <row r="111" spans="1:15" ht="20.100000000000001" customHeight="1" thickBot="1" x14ac:dyDescent="0.3">
      <c r="A111" s="94"/>
      <c r="B111" s="495" t="str">
        <f>START!B5</f>
        <v>11:15 - 11:30 uur</v>
      </c>
      <c r="C111" s="496"/>
      <c r="D111" s="496"/>
      <c r="E111" s="497"/>
      <c r="F111" s="104" t="s">
        <v>249</v>
      </c>
      <c r="G111" s="95"/>
      <c r="H111" s="96"/>
      <c r="I111" s="94"/>
      <c r="J111" s="495" t="str">
        <f>B111</f>
        <v>11:15 - 11:30 uur</v>
      </c>
      <c r="K111" s="496"/>
      <c r="L111" s="496"/>
      <c r="M111" s="497"/>
      <c r="N111" s="104" t="s">
        <v>250</v>
      </c>
      <c r="O111" s="95"/>
    </row>
    <row r="112" spans="1:15" ht="13.5" customHeight="1" thickBot="1" x14ac:dyDescent="0.3">
      <c r="A112" s="90"/>
      <c r="B112" s="97"/>
      <c r="C112" s="92"/>
      <c r="D112" s="92"/>
      <c r="E112" s="92"/>
      <c r="F112" s="98"/>
      <c r="G112" s="91"/>
      <c r="I112" s="90"/>
      <c r="J112" s="97"/>
      <c r="K112" s="92"/>
      <c r="L112" s="92"/>
      <c r="M112" s="92"/>
      <c r="N112" s="98"/>
      <c r="O112" s="91"/>
    </row>
    <row r="113" spans="1:15" s="117" customFormat="1" ht="30" customHeight="1" thickBot="1" x14ac:dyDescent="0.35">
      <c r="A113" s="113"/>
      <c r="B113" s="500" t="str">
        <f>KWALIFICATIE!E52</f>
        <v>Pilsmaten</v>
      </c>
      <c r="C113" s="501"/>
      <c r="D113" s="502"/>
      <c r="F113" s="115"/>
      <c r="J113" s="500" t="str">
        <f>KWALIFICATIE!E53</f>
        <v>TEC-BTV</v>
      </c>
      <c r="K113" s="501"/>
      <c r="L113" s="502"/>
      <c r="M113" s="114"/>
      <c r="N113" s="115"/>
      <c r="O113" s="116"/>
    </row>
    <row r="114" spans="1:15" ht="16.5" thickBot="1" x14ac:dyDescent="0.3">
      <c r="A114" s="90"/>
      <c r="B114" s="99"/>
      <c r="C114" s="99"/>
      <c r="D114" s="99"/>
      <c r="F114" s="99"/>
      <c r="J114" s="99"/>
      <c r="K114" s="99"/>
      <c r="L114" s="99"/>
      <c r="M114" s="99"/>
      <c r="N114" s="99"/>
      <c r="O114" s="91"/>
    </row>
    <row r="115" spans="1:15" s="117" customFormat="1" ht="30" customHeight="1" thickBot="1" x14ac:dyDescent="0.35">
      <c r="A115" s="113"/>
      <c r="B115" s="500" t="str">
        <f>KWALIFICATIE!J52</f>
        <v>Geuzenmiddenmeer</v>
      </c>
      <c r="C115" s="501"/>
      <c r="D115" s="502"/>
      <c r="F115" s="115"/>
      <c r="J115" s="500" t="str">
        <f>KWALIFICATIE!J53</f>
        <v>Rap</v>
      </c>
      <c r="K115" s="501"/>
      <c r="L115" s="502"/>
      <c r="M115" s="114"/>
      <c r="N115" s="115"/>
      <c r="O115" s="116"/>
    </row>
    <row r="116" spans="1:15" ht="12" customHeight="1" x14ac:dyDescent="0.25">
      <c r="A116" s="90"/>
      <c r="B116" s="99"/>
      <c r="C116" s="99"/>
      <c r="D116" s="99"/>
      <c r="E116" s="99"/>
      <c r="F116" s="99"/>
      <c r="G116" s="91"/>
      <c r="I116" s="90"/>
      <c r="J116" s="99"/>
      <c r="K116" s="99"/>
      <c r="L116" s="99"/>
      <c r="M116" s="99"/>
      <c r="N116" s="99"/>
      <c r="O116" s="91"/>
    </row>
    <row r="117" spans="1:15" ht="13.5" customHeight="1" x14ac:dyDescent="0.25">
      <c r="A117" s="90"/>
      <c r="B117" s="498" t="str">
        <f>B105</f>
        <v>SCOREKAART - HVC2016</v>
      </c>
      <c r="C117" s="498"/>
      <c r="D117" s="498"/>
      <c r="E117" s="498"/>
      <c r="F117" s="498"/>
      <c r="G117" s="91"/>
      <c r="I117" s="90"/>
      <c r="J117" s="498" t="str">
        <f>B105</f>
        <v>SCOREKAART - HVC2016</v>
      </c>
      <c r="K117" s="498"/>
      <c r="L117" s="498"/>
      <c r="M117" s="498"/>
      <c r="N117" s="498"/>
      <c r="O117" s="91"/>
    </row>
    <row r="118" spans="1:15" ht="11.25" customHeight="1" thickBot="1" x14ac:dyDescent="0.3">
      <c r="A118" s="101"/>
      <c r="B118" s="102"/>
      <c r="C118" s="102"/>
      <c r="D118" s="102"/>
      <c r="E118" s="102"/>
      <c r="F118" s="102"/>
      <c r="G118" s="103"/>
      <c r="I118" s="101"/>
      <c r="J118" s="102"/>
      <c r="K118" s="102"/>
      <c r="L118" s="102"/>
      <c r="M118" s="102"/>
      <c r="N118" s="102"/>
      <c r="O118" s="103"/>
    </row>
    <row r="119" spans="1:15" ht="14.1" customHeight="1" thickBot="1" x14ac:dyDescent="0.3">
      <c r="A119" s="107"/>
      <c r="B119" s="99"/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107"/>
    </row>
    <row r="120" spans="1:15" ht="16.5" customHeight="1" thickBot="1" x14ac:dyDescent="0.3">
      <c r="A120" s="86"/>
      <c r="B120" s="87"/>
      <c r="C120" s="87"/>
      <c r="D120" s="87"/>
      <c r="E120" s="87"/>
      <c r="F120" s="87"/>
      <c r="G120" s="88"/>
      <c r="I120" s="86"/>
      <c r="J120" s="87"/>
      <c r="K120" s="87"/>
      <c r="L120" s="87"/>
      <c r="M120" s="87"/>
      <c r="N120" s="87"/>
      <c r="O120" s="88"/>
    </row>
    <row r="121" spans="1:15" ht="20.100000000000001" customHeight="1" thickBot="1" x14ac:dyDescent="0.3">
      <c r="A121" s="90"/>
      <c r="B121" s="503" t="str">
        <f>B97</f>
        <v>KWALIFICATIE</v>
      </c>
      <c r="C121" s="504"/>
      <c r="D121" s="505"/>
      <c r="E121" s="106"/>
      <c r="F121" s="105" t="str">
        <f>F109</f>
        <v>RONDE 4</v>
      </c>
      <c r="G121" s="91"/>
      <c r="I121" s="90"/>
      <c r="J121" s="503" t="str">
        <f>B97</f>
        <v>KWALIFICATIE</v>
      </c>
      <c r="K121" s="504"/>
      <c r="L121" s="505"/>
      <c r="M121" s="106"/>
      <c r="N121" s="105" t="str">
        <f>F109</f>
        <v>RONDE 4</v>
      </c>
      <c r="O121" s="91"/>
    </row>
    <row r="122" spans="1:15" ht="13.5" customHeight="1" thickBot="1" x14ac:dyDescent="0.3">
      <c r="A122" s="90"/>
      <c r="B122" s="92"/>
      <c r="C122" s="92"/>
      <c r="D122" s="92"/>
      <c r="E122" s="92"/>
      <c r="F122" s="93"/>
      <c r="G122" s="91"/>
      <c r="I122" s="90"/>
      <c r="J122" s="92"/>
      <c r="K122" s="92"/>
      <c r="L122" s="92"/>
      <c r="M122" s="92"/>
      <c r="N122" s="93"/>
      <c r="O122" s="91"/>
    </row>
    <row r="123" spans="1:15" ht="20.100000000000001" customHeight="1" thickBot="1" x14ac:dyDescent="0.3">
      <c r="A123" s="94"/>
      <c r="B123" s="495" t="str">
        <f>B111</f>
        <v>11:15 - 11:30 uur</v>
      </c>
      <c r="C123" s="496"/>
      <c r="D123" s="496"/>
      <c r="E123" s="497"/>
      <c r="F123" s="104" t="s">
        <v>251</v>
      </c>
      <c r="G123" s="95"/>
      <c r="H123" s="96"/>
      <c r="I123" s="94"/>
      <c r="J123" s="495" t="str">
        <f>B123</f>
        <v>11:15 - 11:30 uur</v>
      </c>
      <c r="K123" s="496"/>
      <c r="L123" s="496"/>
      <c r="M123" s="497"/>
      <c r="N123" s="104" t="s">
        <v>252</v>
      </c>
      <c r="O123" s="95"/>
    </row>
    <row r="124" spans="1:15" ht="13.5" customHeight="1" thickBot="1" x14ac:dyDescent="0.3">
      <c r="A124" s="90"/>
      <c r="B124" s="97"/>
      <c r="C124" s="92"/>
      <c r="D124" s="92"/>
      <c r="E124" s="92"/>
      <c r="F124" s="98"/>
      <c r="G124" s="91"/>
      <c r="I124" s="90"/>
      <c r="J124" s="97"/>
      <c r="K124" s="92"/>
      <c r="L124" s="92"/>
      <c r="M124" s="92"/>
      <c r="N124" s="98"/>
      <c r="O124" s="91"/>
    </row>
    <row r="125" spans="1:15" s="117" customFormat="1" ht="30" customHeight="1" thickBot="1" x14ac:dyDescent="0.35">
      <c r="A125" s="113"/>
      <c r="B125" s="500" t="str">
        <f>KWALIFICATIE!E54</f>
        <v>De Doofpot</v>
      </c>
      <c r="C125" s="501"/>
      <c r="D125" s="502"/>
      <c r="E125" s="114"/>
      <c r="F125" s="115"/>
      <c r="G125" s="116"/>
      <c r="I125" s="113"/>
      <c r="J125" s="500" t="str">
        <f>KWALIFICATIE!E55</f>
        <v>Swift Zondag 11</v>
      </c>
      <c r="K125" s="501"/>
      <c r="L125" s="502"/>
      <c r="M125" s="114"/>
      <c r="N125" s="115"/>
      <c r="O125" s="116"/>
    </row>
    <row r="126" spans="1:15" ht="16.5" thickBot="1" x14ac:dyDescent="0.3">
      <c r="A126" s="90"/>
      <c r="B126" s="99"/>
      <c r="C126" s="99"/>
      <c r="D126" s="99"/>
      <c r="E126" s="99"/>
      <c r="F126" s="99"/>
      <c r="G126" s="91"/>
      <c r="I126" s="90"/>
      <c r="J126" s="99"/>
      <c r="K126" s="99"/>
      <c r="L126" s="99"/>
      <c r="M126" s="99"/>
      <c r="N126" s="99"/>
      <c r="O126" s="91"/>
    </row>
    <row r="127" spans="1:15" s="117" customFormat="1" ht="30" customHeight="1" thickBot="1" x14ac:dyDescent="0.35">
      <c r="A127" s="113"/>
      <c r="B127" s="500" t="str">
        <f>KWALIFICATIE!J54</f>
        <v>De Flitsers 3</v>
      </c>
      <c r="C127" s="501"/>
      <c r="D127" s="502"/>
      <c r="E127" s="114"/>
      <c r="F127" s="115"/>
      <c r="G127" s="116"/>
      <c r="I127" s="113"/>
      <c r="J127" s="500" t="str">
        <f>KWALIFICATIE!J55</f>
        <v>Vrienden van Van Essen</v>
      </c>
      <c r="K127" s="501"/>
      <c r="L127" s="502"/>
      <c r="M127" s="114"/>
      <c r="N127" s="115"/>
      <c r="O127" s="116"/>
    </row>
    <row r="128" spans="1:15" ht="12" customHeight="1" x14ac:dyDescent="0.25">
      <c r="A128" s="90"/>
      <c r="B128" s="99"/>
      <c r="C128" s="99"/>
      <c r="D128" s="99"/>
      <c r="E128" s="99"/>
      <c r="F128" s="99"/>
      <c r="G128" s="91"/>
      <c r="I128" s="90"/>
      <c r="J128" s="99"/>
      <c r="K128" s="99"/>
      <c r="L128" s="99"/>
      <c r="M128" s="99"/>
      <c r="N128" s="99"/>
      <c r="O128" s="91"/>
    </row>
    <row r="129" spans="1:15" ht="13.5" customHeight="1" x14ac:dyDescent="0.25">
      <c r="A129" s="90"/>
      <c r="B129" s="498" t="str">
        <f>B105</f>
        <v>SCOREKAART - HVC2016</v>
      </c>
      <c r="C129" s="498"/>
      <c r="D129" s="498"/>
      <c r="E129" s="498"/>
      <c r="F129" s="498"/>
      <c r="G129" s="91"/>
      <c r="I129" s="90"/>
      <c r="J129" s="498" t="str">
        <f>B105</f>
        <v>SCOREKAART - HVC2016</v>
      </c>
      <c r="K129" s="498"/>
      <c r="L129" s="498"/>
      <c r="M129" s="498"/>
      <c r="N129" s="498"/>
      <c r="O129" s="91"/>
    </row>
    <row r="130" spans="1:15" ht="12" customHeight="1" thickBot="1" x14ac:dyDescent="0.3">
      <c r="A130" s="101"/>
      <c r="B130" s="102"/>
      <c r="C130" s="102"/>
      <c r="D130" s="102"/>
      <c r="E130" s="102"/>
      <c r="F130" s="102"/>
      <c r="G130" s="103"/>
      <c r="I130" s="101"/>
      <c r="J130" s="102"/>
      <c r="K130" s="102"/>
      <c r="L130" s="102"/>
      <c r="M130" s="102"/>
      <c r="N130" s="102"/>
      <c r="O130" s="103"/>
    </row>
    <row r="131" spans="1:15" ht="14.1" customHeight="1" thickBot="1" x14ac:dyDescent="0.3">
      <c r="A131" s="107"/>
      <c r="B131" s="99"/>
      <c r="C131" s="99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107"/>
    </row>
    <row r="132" spans="1:15" ht="16.5" thickBot="1" x14ac:dyDescent="0.3">
      <c r="A132" s="86"/>
      <c r="B132" s="87"/>
      <c r="C132" s="87"/>
      <c r="D132" s="87"/>
      <c r="E132" s="87"/>
      <c r="F132" s="87"/>
      <c r="G132" s="88"/>
      <c r="I132" s="86"/>
      <c r="J132" s="87"/>
      <c r="K132" s="87"/>
      <c r="L132" s="87"/>
      <c r="M132" s="87"/>
      <c r="N132" s="87"/>
      <c r="O132" s="88"/>
    </row>
    <row r="133" spans="1:15" ht="20.100000000000001" customHeight="1" thickBot="1" x14ac:dyDescent="0.3">
      <c r="A133" s="90"/>
      <c r="B133" s="503" t="str">
        <f>B97</f>
        <v>KWALIFICATIE</v>
      </c>
      <c r="C133" s="504"/>
      <c r="D133" s="505"/>
      <c r="E133" s="106"/>
      <c r="F133" s="105" t="str">
        <f>F109</f>
        <v>RONDE 4</v>
      </c>
      <c r="G133" s="91"/>
      <c r="I133" s="90"/>
      <c r="J133" s="503" t="str">
        <f>B97</f>
        <v>KWALIFICATIE</v>
      </c>
      <c r="K133" s="504"/>
      <c r="L133" s="505"/>
      <c r="M133" s="106"/>
      <c r="N133" s="105" t="str">
        <f>F121</f>
        <v>RONDE 4</v>
      </c>
      <c r="O133" s="91"/>
    </row>
    <row r="134" spans="1:15" ht="13.5" customHeight="1" thickBot="1" x14ac:dyDescent="0.3">
      <c r="A134" s="90"/>
      <c r="B134" s="92"/>
      <c r="C134" s="92"/>
      <c r="D134" s="92"/>
      <c r="E134" s="92"/>
      <c r="F134" s="93"/>
      <c r="G134" s="91"/>
      <c r="I134" s="90"/>
      <c r="J134" s="92"/>
      <c r="K134" s="92"/>
      <c r="L134" s="92"/>
      <c r="M134" s="92"/>
      <c r="N134" s="93"/>
      <c r="O134" s="91"/>
    </row>
    <row r="135" spans="1:15" ht="20.100000000000001" customHeight="1" thickBot="1" x14ac:dyDescent="0.3">
      <c r="A135" s="94"/>
      <c r="B135" s="495" t="str">
        <f>B111</f>
        <v>11:15 - 11:30 uur</v>
      </c>
      <c r="C135" s="496"/>
      <c r="D135" s="496"/>
      <c r="E135" s="497"/>
      <c r="F135" s="104" t="s">
        <v>253</v>
      </c>
      <c r="G135" s="95"/>
      <c r="H135" s="96"/>
      <c r="I135" s="94"/>
      <c r="J135" s="495" t="str">
        <f>B111</f>
        <v>11:15 - 11:30 uur</v>
      </c>
      <c r="K135" s="496"/>
      <c r="L135" s="496"/>
      <c r="M135" s="497"/>
      <c r="N135" s="104" t="s">
        <v>254</v>
      </c>
      <c r="O135" s="95"/>
    </row>
    <row r="136" spans="1:15" ht="13.5" customHeight="1" thickBot="1" x14ac:dyDescent="0.3">
      <c r="A136" s="90"/>
      <c r="B136" s="97"/>
      <c r="C136" s="92"/>
      <c r="D136" s="92"/>
      <c r="E136" s="92"/>
      <c r="F136" s="98"/>
      <c r="G136" s="91"/>
      <c r="I136" s="90"/>
      <c r="J136" s="97"/>
      <c r="K136" s="92"/>
      <c r="L136" s="92"/>
      <c r="M136" s="92"/>
      <c r="N136" s="98"/>
      <c r="O136" s="91"/>
    </row>
    <row r="137" spans="1:15" s="117" customFormat="1" ht="30" customHeight="1" thickBot="1" x14ac:dyDescent="0.35">
      <c r="A137" s="113"/>
      <c r="B137" s="500" t="str">
        <f>KWALIFICATIE!E56</f>
        <v>De Kabel</v>
      </c>
      <c r="C137" s="501"/>
      <c r="D137" s="502"/>
      <c r="E137" s="114"/>
      <c r="F137" s="115"/>
      <c r="G137" s="116"/>
      <c r="I137" s="113"/>
      <c r="J137" s="500" t="str">
        <f>KWALIFICATIE!E57</f>
        <v>Jenever op de Schinkel</v>
      </c>
      <c r="K137" s="501"/>
      <c r="L137" s="502"/>
      <c r="M137" s="114"/>
      <c r="N137" s="115"/>
      <c r="O137" s="116"/>
    </row>
    <row r="138" spans="1:15" ht="16.5" thickBot="1" x14ac:dyDescent="0.3">
      <c r="A138" s="90"/>
      <c r="B138" s="99"/>
      <c r="C138" s="99"/>
      <c r="D138" s="99"/>
      <c r="E138" s="99"/>
      <c r="F138" s="99"/>
      <c r="G138" s="91"/>
      <c r="I138" s="90"/>
      <c r="J138" s="99"/>
      <c r="K138" s="99"/>
      <c r="L138" s="99"/>
      <c r="M138" s="99"/>
      <c r="N138" s="99"/>
      <c r="O138" s="91"/>
    </row>
    <row r="139" spans="1:15" s="117" customFormat="1" ht="30" customHeight="1" thickBot="1" x14ac:dyDescent="0.35">
      <c r="A139" s="113"/>
      <c r="B139" s="500" t="str">
        <f>KWALIFICATIE!J56</f>
        <v>Team Bombert</v>
      </c>
      <c r="C139" s="501"/>
      <c r="D139" s="502"/>
      <c r="E139" s="114"/>
      <c r="F139" s="115"/>
      <c r="G139" s="116"/>
      <c r="I139" s="113"/>
      <c r="J139" s="500" t="str">
        <f>KWALIFICATIE!J57</f>
        <v>Amsterdam Finest ss16</v>
      </c>
      <c r="K139" s="501"/>
      <c r="L139" s="502"/>
      <c r="M139" s="114"/>
      <c r="N139" s="115"/>
      <c r="O139" s="116"/>
    </row>
    <row r="140" spans="1:15" ht="12" customHeight="1" x14ac:dyDescent="0.25">
      <c r="A140" s="90"/>
      <c r="B140" s="99"/>
      <c r="C140" s="99"/>
      <c r="D140" s="99"/>
      <c r="E140" s="99"/>
      <c r="F140" s="99"/>
      <c r="G140" s="91"/>
      <c r="I140" s="90"/>
      <c r="J140" s="99"/>
      <c r="K140" s="99"/>
      <c r="L140" s="99"/>
      <c r="M140" s="99"/>
      <c r="N140" s="99"/>
      <c r="O140" s="91"/>
    </row>
    <row r="141" spans="1:15" ht="13.5" customHeight="1" x14ac:dyDescent="0.25">
      <c r="A141" s="90"/>
      <c r="B141" s="498" t="str">
        <f>B105</f>
        <v>SCOREKAART - HVC2016</v>
      </c>
      <c r="C141" s="498"/>
      <c r="D141" s="498"/>
      <c r="E141" s="498"/>
      <c r="F141" s="498"/>
      <c r="G141" s="91"/>
      <c r="I141" s="90"/>
      <c r="J141" s="498" t="str">
        <f>B105</f>
        <v>SCOREKAART - HVC2016</v>
      </c>
      <c r="K141" s="498"/>
      <c r="L141" s="498"/>
      <c r="M141" s="498"/>
      <c r="N141" s="498"/>
      <c r="O141" s="91"/>
    </row>
    <row r="142" spans="1:15" ht="12" customHeight="1" thickBot="1" x14ac:dyDescent="0.3">
      <c r="A142" s="101"/>
      <c r="B142" s="102"/>
      <c r="C142" s="102"/>
      <c r="D142" s="102"/>
      <c r="E142" s="102"/>
      <c r="F142" s="102"/>
      <c r="G142" s="103"/>
      <c r="I142" s="101"/>
      <c r="J142" s="102"/>
      <c r="K142" s="102"/>
      <c r="L142" s="102"/>
      <c r="M142" s="102"/>
      <c r="N142" s="102"/>
      <c r="O142" s="103"/>
    </row>
    <row r="143" spans="1:15" ht="16.5" thickBot="1" x14ac:dyDescent="0.3">
      <c r="A143" s="86"/>
      <c r="B143" s="87"/>
      <c r="C143" s="87"/>
      <c r="D143" s="87"/>
      <c r="E143" s="87"/>
      <c r="F143" s="87"/>
      <c r="G143" s="88"/>
      <c r="I143" s="86"/>
      <c r="J143" s="87"/>
      <c r="K143" s="87"/>
      <c r="L143" s="87"/>
      <c r="M143" s="87"/>
      <c r="N143" s="87"/>
      <c r="O143" s="88"/>
    </row>
    <row r="144" spans="1:15" ht="20.25" customHeight="1" thickBot="1" x14ac:dyDescent="0.3">
      <c r="A144" s="90"/>
      <c r="B144" s="506" t="str">
        <f>START!D5</f>
        <v>KWALIFICATIE</v>
      </c>
      <c r="C144" s="504"/>
      <c r="D144" s="505"/>
      <c r="E144" s="106"/>
      <c r="F144" s="105" t="s">
        <v>29</v>
      </c>
      <c r="G144" s="91"/>
      <c r="I144" s="90"/>
      <c r="J144" s="503" t="str">
        <f>B144</f>
        <v>KWALIFICATIE</v>
      </c>
      <c r="K144" s="504"/>
      <c r="L144" s="505"/>
      <c r="M144" s="106"/>
      <c r="N144" s="105" t="str">
        <f>F144</f>
        <v>RONDE 5</v>
      </c>
      <c r="O144" s="91"/>
    </row>
    <row r="145" spans="1:15" ht="9.75" customHeight="1" thickBot="1" x14ac:dyDescent="0.3">
      <c r="A145" s="90"/>
      <c r="B145" s="92"/>
      <c r="C145" s="92"/>
      <c r="D145" s="92"/>
      <c r="E145" s="92"/>
      <c r="F145" s="93"/>
      <c r="G145" s="91"/>
      <c r="I145" s="90"/>
      <c r="J145" s="92"/>
      <c r="K145" s="92"/>
      <c r="L145" s="92"/>
      <c r="M145" s="92"/>
      <c r="N145" s="93"/>
      <c r="O145" s="91"/>
    </row>
    <row r="146" spans="1:15" s="96" customFormat="1" ht="19.5" customHeight="1" thickBot="1" x14ac:dyDescent="0.3">
      <c r="A146" s="94"/>
      <c r="B146" s="499" t="str">
        <f>START!B6</f>
        <v>11:30 - 11:45 uur</v>
      </c>
      <c r="C146" s="496"/>
      <c r="D146" s="496"/>
      <c r="E146" s="497"/>
      <c r="F146" s="104" t="s">
        <v>249</v>
      </c>
      <c r="G146" s="95"/>
      <c r="I146" s="94"/>
      <c r="J146" s="495" t="str">
        <f>B146</f>
        <v>11:30 - 11:45 uur</v>
      </c>
      <c r="K146" s="496"/>
      <c r="L146" s="496"/>
      <c r="M146" s="497"/>
      <c r="N146" s="104" t="s">
        <v>250</v>
      </c>
      <c r="O146" s="95"/>
    </row>
    <row r="147" spans="1:15" ht="14.25" customHeight="1" thickBot="1" x14ac:dyDescent="0.3">
      <c r="A147" s="90"/>
      <c r="B147" s="97"/>
      <c r="C147" s="92"/>
      <c r="D147" s="92"/>
      <c r="E147" s="92"/>
      <c r="F147" s="98"/>
      <c r="G147" s="91"/>
      <c r="I147" s="90"/>
      <c r="J147" s="97"/>
      <c r="K147" s="92"/>
      <c r="L147" s="92"/>
      <c r="M147" s="92"/>
      <c r="N147" s="98"/>
      <c r="O147" s="91"/>
    </row>
    <row r="148" spans="1:15" s="117" customFormat="1" ht="30" customHeight="1" thickBot="1" x14ac:dyDescent="0.35">
      <c r="A148" s="113"/>
      <c r="B148" s="500" t="str">
        <f>KWALIFICATIE!E60</f>
        <v>De Westfriesies</v>
      </c>
      <c r="C148" s="501"/>
      <c r="D148" s="502"/>
      <c r="E148" s="114"/>
      <c r="F148" s="115"/>
      <c r="G148" s="116"/>
      <c r="I148" s="113"/>
      <c r="J148" s="500" t="str">
        <f>KWALIFICATIE!E61</f>
        <v>AMVJ</v>
      </c>
      <c r="K148" s="501"/>
      <c r="L148" s="502"/>
      <c r="M148" s="114"/>
      <c r="N148" s="115"/>
      <c r="O148" s="116"/>
    </row>
    <row r="149" spans="1:15" ht="16.5" thickBot="1" x14ac:dyDescent="0.3">
      <c r="A149" s="90"/>
      <c r="B149" s="99"/>
      <c r="C149" s="99"/>
      <c r="D149" s="99"/>
      <c r="E149" s="99"/>
      <c r="F149" s="99"/>
      <c r="G149" s="91"/>
      <c r="I149" s="90"/>
      <c r="J149" s="99"/>
      <c r="K149" s="99"/>
      <c r="L149" s="99"/>
      <c r="M149" s="99"/>
      <c r="N149" s="99"/>
      <c r="O149" s="91"/>
    </row>
    <row r="150" spans="1:15" s="117" customFormat="1" ht="30" customHeight="1" thickBot="1" x14ac:dyDescent="0.35">
      <c r="A150" s="113"/>
      <c r="B150" s="500" t="str">
        <f>KWALIFICATIE!J60</f>
        <v>About to get Messi</v>
      </c>
      <c r="C150" s="501"/>
      <c r="D150" s="502"/>
      <c r="E150" s="114"/>
      <c r="F150" s="115"/>
      <c r="G150" s="116"/>
      <c r="I150" s="113"/>
      <c r="J150" s="500" t="str">
        <f>KWALIFICATIE!J61</f>
        <v>KFC zaterdag VR 35+</v>
      </c>
      <c r="K150" s="501"/>
      <c r="L150" s="502"/>
      <c r="M150" s="114"/>
      <c r="N150" s="115"/>
      <c r="O150" s="116"/>
    </row>
    <row r="151" spans="1:15" ht="12" customHeight="1" x14ac:dyDescent="0.25">
      <c r="A151" s="90"/>
      <c r="B151" s="99"/>
      <c r="C151" s="99"/>
      <c r="D151" s="99"/>
      <c r="E151" s="99"/>
      <c r="F151" s="99"/>
      <c r="G151" s="91"/>
      <c r="I151" s="90"/>
      <c r="J151" s="99"/>
      <c r="K151" s="99"/>
      <c r="L151" s="99"/>
      <c r="M151" s="99"/>
      <c r="N151" s="99"/>
      <c r="O151" s="91"/>
    </row>
    <row r="152" spans="1:15" ht="13.5" customHeight="1" x14ac:dyDescent="0.25">
      <c r="A152" s="90"/>
      <c r="B152" s="498" t="str">
        <f>B141</f>
        <v>SCOREKAART - HVC2016</v>
      </c>
      <c r="C152" s="498"/>
      <c r="D152" s="498"/>
      <c r="E152" s="498"/>
      <c r="F152" s="498"/>
      <c r="G152" s="91"/>
      <c r="I152" s="90"/>
      <c r="J152" s="498" t="str">
        <f>B152</f>
        <v>SCOREKAART - HVC2016</v>
      </c>
      <c r="K152" s="498"/>
      <c r="L152" s="498"/>
      <c r="M152" s="498"/>
      <c r="N152" s="498"/>
      <c r="O152" s="91"/>
    </row>
    <row r="153" spans="1:15" ht="11.25" customHeight="1" thickBot="1" x14ac:dyDescent="0.3">
      <c r="A153" s="101"/>
      <c r="B153" s="102"/>
      <c r="C153" s="102"/>
      <c r="D153" s="102"/>
      <c r="E153" s="102"/>
      <c r="F153" s="102"/>
      <c r="G153" s="103"/>
      <c r="I153" s="101"/>
      <c r="J153" s="102"/>
      <c r="K153" s="102"/>
      <c r="L153" s="102"/>
      <c r="M153" s="102"/>
      <c r="N153" s="102"/>
      <c r="O153" s="103"/>
    </row>
    <row r="154" spans="1:15" ht="13.5" customHeight="1" thickBot="1" x14ac:dyDescent="0.3">
      <c r="A154" s="99"/>
      <c r="B154" s="99"/>
      <c r="C154" s="99"/>
      <c r="D154" s="99"/>
      <c r="E154" s="99"/>
      <c r="F154" s="99"/>
      <c r="G154" s="99"/>
      <c r="I154" s="99"/>
      <c r="J154" s="99"/>
      <c r="K154" s="99"/>
      <c r="L154" s="99"/>
      <c r="M154" s="99"/>
      <c r="N154" s="99"/>
      <c r="O154" s="99"/>
    </row>
    <row r="155" spans="1:15" ht="16.5" thickBot="1" x14ac:dyDescent="0.3">
      <c r="A155" s="86"/>
      <c r="B155" s="87"/>
      <c r="C155" s="87"/>
      <c r="D155" s="87"/>
      <c r="E155" s="87"/>
      <c r="F155" s="87"/>
      <c r="G155" s="88"/>
      <c r="I155" s="86"/>
      <c r="J155" s="87"/>
      <c r="K155" s="87"/>
      <c r="L155" s="87"/>
      <c r="M155" s="87"/>
      <c r="N155" s="87"/>
      <c r="O155" s="88"/>
    </row>
    <row r="156" spans="1:15" ht="20.100000000000001" customHeight="1" thickBot="1" x14ac:dyDescent="0.3">
      <c r="A156" s="90"/>
      <c r="B156" s="503" t="str">
        <f>B144</f>
        <v>KWALIFICATIE</v>
      </c>
      <c r="C156" s="504"/>
      <c r="D156" s="505"/>
      <c r="E156" s="106"/>
      <c r="F156" s="105" t="str">
        <f>F144</f>
        <v>RONDE 5</v>
      </c>
      <c r="G156" s="91"/>
      <c r="I156" s="90"/>
      <c r="J156" s="503" t="str">
        <f>B144</f>
        <v>KWALIFICATIE</v>
      </c>
      <c r="K156" s="504"/>
      <c r="L156" s="505"/>
      <c r="M156" s="106"/>
      <c r="N156" s="105" t="str">
        <f>F144</f>
        <v>RONDE 5</v>
      </c>
      <c r="O156" s="91"/>
    </row>
    <row r="157" spans="1:15" ht="9.75" customHeight="1" thickBot="1" x14ac:dyDescent="0.3">
      <c r="A157" s="90"/>
      <c r="B157" s="92"/>
      <c r="C157" s="92"/>
      <c r="D157" s="92"/>
      <c r="E157" s="92"/>
      <c r="F157" s="93"/>
      <c r="G157" s="91"/>
      <c r="I157" s="90"/>
      <c r="J157" s="92"/>
      <c r="K157" s="92"/>
      <c r="L157" s="92"/>
      <c r="M157" s="92"/>
      <c r="N157" s="93"/>
      <c r="O157" s="91"/>
    </row>
    <row r="158" spans="1:15" ht="20.100000000000001" customHeight="1" thickBot="1" x14ac:dyDescent="0.3">
      <c r="A158" s="94"/>
      <c r="B158" s="495" t="str">
        <f>B146</f>
        <v>11:30 - 11:45 uur</v>
      </c>
      <c r="C158" s="496"/>
      <c r="D158" s="496"/>
      <c r="E158" s="497"/>
      <c r="F158" s="104" t="s">
        <v>251</v>
      </c>
      <c r="G158" s="95"/>
      <c r="H158" s="96"/>
      <c r="I158" s="94"/>
      <c r="J158" s="495" t="str">
        <f>B146</f>
        <v>11:30 - 11:45 uur</v>
      </c>
      <c r="K158" s="496"/>
      <c r="L158" s="496"/>
      <c r="M158" s="497"/>
      <c r="N158" s="104" t="s">
        <v>252</v>
      </c>
      <c r="O158" s="95"/>
    </row>
    <row r="159" spans="1:15" ht="13.5" customHeight="1" thickBot="1" x14ac:dyDescent="0.3">
      <c r="A159" s="90"/>
      <c r="B159" s="97"/>
      <c r="C159" s="92"/>
      <c r="D159" s="92"/>
      <c r="E159" s="92"/>
      <c r="F159" s="98"/>
      <c r="G159" s="91"/>
      <c r="I159" s="90"/>
      <c r="J159" s="97"/>
      <c r="K159" s="92"/>
      <c r="L159" s="92"/>
      <c r="M159" s="92"/>
      <c r="N159" s="98"/>
      <c r="O159" s="91"/>
    </row>
    <row r="160" spans="1:15" s="117" customFormat="1" ht="30" customHeight="1" thickBot="1" x14ac:dyDescent="0.35">
      <c r="A160" s="113"/>
      <c r="B160" s="500" t="str">
        <f>KWALIFICATIE!E62</f>
        <v>IAMB&amp;B</v>
      </c>
      <c r="C160" s="501"/>
      <c r="D160" s="502"/>
      <c r="E160" s="114"/>
      <c r="F160" s="115"/>
      <c r="G160" s="116"/>
      <c r="I160" s="113"/>
      <c r="J160" s="500" t="str">
        <f>KWALIFICATIE!E63</f>
        <v>FC EPERNAY</v>
      </c>
      <c r="K160" s="501"/>
      <c r="L160" s="502"/>
      <c r="M160" s="114"/>
      <c r="N160" s="115"/>
      <c r="O160" s="116"/>
    </row>
    <row r="161" spans="1:15" ht="16.5" thickBot="1" x14ac:dyDescent="0.3">
      <c r="A161" s="90"/>
      <c r="B161" s="99"/>
      <c r="C161" s="99"/>
      <c r="D161" s="99"/>
      <c r="E161" s="99"/>
      <c r="F161" s="99"/>
      <c r="G161" s="91"/>
      <c r="I161" s="90"/>
      <c r="J161" s="99"/>
      <c r="K161" s="99"/>
      <c r="L161" s="99"/>
      <c r="M161" s="99"/>
      <c r="N161" s="99"/>
      <c r="O161" s="91"/>
    </row>
    <row r="162" spans="1:15" s="117" customFormat="1" ht="30" customHeight="1" thickBot="1" x14ac:dyDescent="0.35">
      <c r="A162" s="113"/>
      <c r="B162" s="500" t="str">
        <f>KWALIFICATIE!J62</f>
        <v>Veddetero's klunzen</v>
      </c>
      <c r="C162" s="501"/>
      <c r="D162" s="502"/>
      <c r="E162" s="114"/>
      <c r="F162" s="115"/>
      <c r="G162" s="116"/>
      <c r="I162" s="113"/>
      <c r="J162" s="500" t="str">
        <f>KWALIFICATIE!J63</f>
        <v>FC Vondelpark</v>
      </c>
      <c r="K162" s="501"/>
      <c r="L162" s="502"/>
      <c r="M162" s="114"/>
      <c r="N162" s="115"/>
      <c r="O162" s="116"/>
    </row>
    <row r="163" spans="1:15" ht="12" customHeight="1" x14ac:dyDescent="0.25">
      <c r="A163" s="90"/>
      <c r="B163" s="99"/>
      <c r="C163" s="99"/>
      <c r="D163" s="99"/>
      <c r="E163" s="99"/>
      <c r="F163" s="99"/>
      <c r="G163" s="91"/>
      <c r="I163" s="90"/>
      <c r="J163" s="99"/>
      <c r="K163" s="99"/>
      <c r="L163" s="99"/>
      <c r="M163" s="99"/>
      <c r="N163" s="99"/>
      <c r="O163" s="91"/>
    </row>
    <row r="164" spans="1:15" ht="13.5" customHeight="1" x14ac:dyDescent="0.25">
      <c r="A164" s="90"/>
      <c r="B164" s="498" t="str">
        <f>B152</f>
        <v>SCOREKAART - HVC2016</v>
      </c>
      <c r="C164" s="498"/>
      <c r="D164" s="498"/>
      <c r="E164" s="498"/>
      <c r="F164" s="498"/>
      <c r="G164" s="91"/>
      <c r="I164" s="90"/>
      <c r="J164" s="498" t="str">
        <f>B152</f>
        <v>SCOREKAART - HVC2016</v>
      </c>
      <c r="K164" s="498"/>
      <c r="L164" s="498"/>
      <c r="M164" s="498"/>
      <c r="N164" s="498"/>
      <c r="O164" s="91"/>
    </row>
    <row r="165" spans="1:15" ht="11.25" customHeight="1" thickBot="1" x14ac:dyDescent="0.3">
      <c r="A165" s="101"/>
      <c r="B165" s="102"/>
      <c r="C165" s="102"/>
      <c r="D165" s="102"/>
      <c r="E165" s="102"/>
      <c r="F165" s="102"/>
      <c r="G165" s="103"/>
      <c r="I165" s="101"/>
      <c r="J165" s="102"/>
      <c r="K165" s="102"/>
      <c r="L165" s="102"/>
      <c r="M165" s="102"/>
      <c r="N165" s="102"/>
      <c r="O165" s="103"/>
    </row>
    <row r="166" spans="1:15" ht="14.1" customHeight="1" thickBot="1" x14ac:dyDescent="0.3">
      <c r="A166" s="107"/>
      <c r="B166" s="99"/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107"/>
    </row>
    <row r="167" spans="1:15" ht="16.5" customHeight="1" thickBot="1" x14ac:dyDescent="0.3">
      <c r="A167" s="86"/>
      <c r="B167" s="87"/>
      <c r="C167" s="87"/>
      <c r="D167" s="87"/>
      <c r="E167" s="87"/>
      <c r="F167" s="87"/>
      <c r="G167" s="88"/>
      <c r="I167" s="86"/>
      <c r="J167" s="87"/>
      <c r="K167" s="87"/>
      <c r="L167" s="87"/>
      <c r="M167" s="87"/>
      <c r="N167" s="87"/>
      <c r="O167" s="88"/>
    </row>
    <row r="168" spans="1:15" ht="20.100000000000001" customHeight="1" thickBot="1" x14ac:dyDescent="0.3">
      <c r="A168" s="90"/>
      <c r="B168" s="503" t="str">
        <f>B144</f>
        <v>KWALIFICATIE</v>
      </c>
      <c r="C168" s="504"/>
      <c r="D168" s="505"/>
      <c r="E168" s="106"/>
      <c r="F168" s="105" t="str">
        <f>F144</f>
        <v>RONDE 5</v>
      </c>
      <c r="G168" s="91"/>
      <c r="I168" s="90"/>
      <c r="J168" s="503" t="str">
        <f>B144</f>
        <v>KWALIFICATIE</v>
      </c>
      <c r="K168" s="504"/>
      <c r="L168" s="505"/>
      <c r="M168" s="106"/>
      <c r="N168" s="105" t="str">
        <f>F144</f>
        <v>RONDE 5</v>
      </c>
      <c r="O168" s="91"/>
    </row>
    <row r="169" spans="1:15" ht="13.5" customHeight="1" thickBot="1" x14ac:dyDescent="0.3">
      <c r="A169" s="90"/>
      <c r="B169" s="92"/>
      <c r="C169" s="92"/>
      <c r="D169" s="92"/>
      <c r="E169" s="92"/>
      <c r="F169" s="93"/>
      <c r="G169" s="91"/>
      <c r="I169" s="90"/>
      <c r="J169" s="92"/>
      <c r="K169" s="92"/>
      <c r="L169" s="92"/>
      <c r="M169" s="92"/>
      <c r="N169" s="93"/>
      <c r="O169" s="91"/>
    </row>
    <row r="170" spans="1:15" ht="20.100000000000001" customHeight="1" thickBot="1" x14ac:dyDescent="0.3">
      <c r="A170" s="94"/>
      <c r="B170" s="495" t="str">
        <f>B146</f>
        <v>11:30 - 11:45 uur</v>
      </c>
      <c r="C170" s="496"/>
      <c r="D170" s="496"/>
      <c r="E170" s="497"/>
      <c r="F170" s="104" t="s">
        <v>253</v>
      </c>
      <c r="G170" s="95"/>
      <c r="H170" s="96"/>
      <c r="I170" s="94"/>
      <c r="J170" s="495" t="str">
        <f>B146</f>
        <v>11:30 - 11:45 uur</v>
      </c>
      <c r="K170" s="496"/>
      <c r="L170" s="496"/>
      <c r="M170" s="497"/>
      <c r="N170" s="104" t="s">
        <v>254</v>
      </c>
      <c r="O170" s="95"/>
    </row>
    <row r="171" spans="1:15" ht="13.5" customHeight="1" thickBot="1" x14ac:dyDescent="0.3">
      <c r="A171" s="90"/>
      <c r="B171" s="97"/>
      <c r="C171" s="92"/>
      <c r="D171" s="92"/>
      <c r="E171" s="92"/>
      <c r="F171" s="98"/>
      <c r="G171" s="91"/>
      <c r="I171" s="90"/>
      <c r="J171" s="97"/>
      <c r="K171" s="92"/>
      <c r="L171" s="92"/>
      <c r="M171" s="92"/>
      <c r="N171" s="98"/>
      <c r="O171" s="91"/>
    </row>
    <row r="172" spans="1:15" s="117" customFormat="1" ht="30" customHeight="1" thickBot="1" x14ac:dyDescent="0.35">
      <c r="A172" s="113"/>
      <c r="B172" s="500" t="str">
        <f>KWALIFICATIE!E64</f>
        <v>Carte blanche</v>
      </c>
      <c r="C172" s="501"/>
      <c r="D172" s="502"/>
      <c r="E172" s="114"/>
      <c r="F172" s="115"/>
      <c r="G172" s="116"/>
      <c r="I172" s="113"/>
      <c r="J172" s="500" t="str">
        <f>KWALIFICATIE!E65</f>
        <v>IRRIDUCIBILI</v>
      </c>
      <c r="K172" s="501"/>
      <c r="L172" s="502"/>
      <c r="M172" s="114"/>
      <c r="N172" s="115"/>
      <c r="O172" s="116"/>
    </row>
    <row r="173" spans="1:15" ht="16.5" thickBot="1" x14ac:dyDescent="0.3">
      <c r="A173" s="90"/>
      <c r="B173" s="99"/>
      <c r="C173" s="99"/>
      <c r="D173" s="99"/>
      <c r="E173" s="99"/>
      <c r="F173" s="99"/>
      <c r="G173" s="91"/>
      <c r="I173" s="90"/>
      <c r="J173" s="99"/>
      <c r="K173" s="99"/>
      <c r="L173" s="99"/>
      <c r="M173" s="99"/>
      <c r="N173" s="99"/>
      <c r="O173" s="91"/>
    </row>
    <row r="174" spans="1:15" s="117" customFormat="1" ht="30" customHeight="1" thickBot="1" x14ac:dyDescent="0.35">
      <c r="A174" s="113"/>
      <c r="B174" s="500" t="str">
        <f>KWALIFICATIE!J64</f>
        <v>Monnie Represent</v>
      </c>
      <c r="C174" s="501"/>
      <c r="D174" s="502"/>
      <c r="E174" s="114"/>
      <c r="F174" s="115"/>
      <c r="G174" s="116"/>
      <c r="I174" s="113"/>
      <c r="J174" s="500" t="str">
        <f>KWALIFICATIE!J65</f>
        <v>FC Carnabal</v>
      </c>
      <c r="K174" s="501"/>
      <c r="L174" s="502"/>
      <c r="M174" s="114"/>
      <c r="N174" s="115"/>
      <c r="O174" s="116"/>
    </row>
    <row r="175" spans="1:15" ht="12" customHeight="1" x14ac:dyDescent="0.25">
      <c r="A175" s="90"/>
      <c r="B175" s="99"/>
      <c r="C175" s="99"/>
      <c r="D175" s="99"/>
      <c r="E175" s="99"/>
      <c r="F175" s="99"/>
      <c r="G175" s="91"/>
      <c r="I175" s="90"/>
      <c r="J175" s="99"/>
      <c r="K175" s="99"/>
      <c r="L175" s="99"/>
      <c r="M175" s="99"/>
      <c r="N175" s="99"/>
      <c r="O175" s="91"/>
    </row>
    <row r="176" spans="1:15" ht="13.5" customHeight="1" x14ac:dyDescent="0.25">
      <c r="A176" s="90"/>
      <c r="B176" s="498" t="str">
        <f>B152</f>
        <v>SCOREKAART - HVC2016</v>
      </c>
      <c r="C176" s="498"/>
      <c r="D176" s="498"/>
      <c r="E176" s="498"/>
      <c r="F176" s="498"/>
      <c r="G176" s="91"/>
      <c r="I176" s="90"/>
      <c r="J176" s="498" t="str">
        <f>B152</f>
        <v>SCOREKAART - HVC2016</v>
      </c>
      <c r="K176" s="498"/>
      <c r="L176" s="498"/>
      <c r="M176" s="498"/>
      <c r="N176" s="498"/>
      <c r="O176" s="91"/>
    </row>
    <row r="177" spans="1:15" ht="12" customHeight="1" thickBot="1" x14ac:dyDescent="0.3">
      <c r="A177" s="101"/>
      <c r="B177" s="102"/>
      <c r="C177" s="102"/>
      <c r="D177" s="102"/>
      <c r="E177" s="102"/>
      <c r="F177" s="102"/>
      <c r="G177" s="103"/>
      <c r="I177" s="101"/>
      <c r="J177" s="102"/>
      <c r="K177" s="102"/>
      <c r="L177" s="102"/>
      <c r="M177" s="102"/>
      <c r="N177" s="102"/>
      <c r="O177" s="103"/>
    </row>
    <row r="178" spans="1:15" ht="14.1" customHeight="1" thickBot="1" x14ac:dyDescent="0.3">
      <c r="A178" s="107"/>
      <c r="B178" s="99"/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107"/>
    </row>
    <row r="179" spans="1:15" ht="16.5" thickBot="1" x14ac:dyDescent="0.3">
      <c r="A179" s="86"/>
      <c r="B179" s="87"/>
      <c r="C179" s="87"/>
      <c r="D179" s="87"/>
      <c r="E179" s="87"/>
      <c r="F179" s="87"/>
      <c r="G179" s="88"/>
      <c r="I179" s="86"/>
      <c r="J179" s="87"/>
      <c r="K179" s="87"/>
      <c r="L179" s="87"/>
      <c r="M179" s="87"/>
      <c r="N179" s="87"/>
      <c r="O179" s="88"/>
    </row>
    <row r="180" spans="1:15" ht="20.100000000000001" customHeight="1" thickBot="1" x14ac:dyDescent="0.3">
      <c r="A180" s="90"/>
      <c r="B180" s="503" t="str">
        <f>B144</f>
        <v>KWALIFICATIE</v>
      </c>
      <c r="C180" s="504"/>
      <c r="D180" s="505"/>
      <c r="E180" s="106"/>
      <c r="F180" s="136" t="s">
        <v>12</v>
      </c>
      <c r="G180" s="91"/>
      <c r="I180" s="90"/>
      <c r="J180" s="503" t="str">
        <f>B144</f>
        <v>KWALIFICATIE</v>
      </c>
      <c r="K180" s="504"/>
      <c r="L180" s="505"/>
      <c r="M180" s="106"/>
      <c r="N180" s="105" t="str">
        <f>F180</f>
        <v>RONDE 6</v>
      </c>
      <c r="O180" s="91"/>
    </row>
    <row r="181" spans="1:15" ht="13.5" customHeight="1" thickBot="1" x14ac:dyDescent="0.3">
      <c r="A181" s="90"/>
      <c r="B181" s="92"/>
      <c r="C181" s="92"/>
      <c r="D181" s="92"/>
      <c r="E181" s="92"/>
      <c r="F181" s="93"/>
      <c r="G181" s="91"/>
      <c r="I181" s="90"/>
      <c r="J181" s="92"/>
      <c r="K181" s="92"/>
      <c r="L181" s="92"/>
      <c r="M181" s="92"/>
      <c r="N181" s="93"/>
      <c r="O181" s="91"/>
    </row>
    <row r="182" spans="1:15" ht="20.100000000000001" customHeight="1" thickBot="1" x14ac:dyDescent="0.3">
      <c r="A182" s="94"/>
      <c r="B182" s="499" t="str">
        <f>START!B7</f>
        <v>11:45 - 12:00 uur</v>
      </c>
      <c r="C182" s="496"/>
      <c r="D182" s="496"/>
      <c r="E182" s="497"/>
      <c r="F182" s="104" t="s">
        <v>249</v>
      </c>
      <c r="G182" s="95"/>
      <c r="H182" s="96"/>
      <c r="I182" s="94"/>
      <c r="J182" s="499" t="str">
        <f>B182</f>
        <v>11:45 - 12:00 uur</v>
      </c>
      <c r="K182" s="496"/>
      <c r="L182" s="496"/>
      <c r="M182" s="497"/>
      <c r="N182" s="104" t="s">
        <v>250</v>
      </c>
      <c r="O182" s="95"/>
    </row>
    <row r="183" spans="1:15" ht="13.5" customHeight="1" thickBot="1" x14ac:dyDescent="0.3">
      <c r="A183" s="90"/>
      <c r="B183" s="97"/>
      <c r="C183" s="92"/>
      <c r="D183" s="92"/>
      <c r="E183" s="92"/>
      <c r="F183" s="98"/>
      <c r="G183" s="91"/>
      <c r="I183" s="90"/>
      <c r="J183" s="97"/>
      <c r="K183" s="92"/>
      <c r="L183" s="92"/>
      <c r="M183" s="92"/>
      <c r="N183" s="98"/>
      <c r="O183" s="91"/>
    </row>
    <row r="184" spans="1:15" s="117" customFormat="1" ht="30" customHeight="1" thickBot="1" x14ac:dyDescent="0.35">
      <c r="A184" s="113"/>
      <c r="B184" s="500" t="str">
        <f>KWALIFICATIE!T28</f>
        <v>Pilsmaten</v>
      </c>
      <c r="C184" s="501"/>
      <c r="D184" s="502"/>
      <c r="E184" s="114"/>
      <c r="F184" s="115"/>
      <c r="G184" s="116"/>
      <c r="I184" s="113"/>
      <c r="J184" s="500" t="str">
        <f>KWALIFICATIE!T29</f>
        <v>Rap</v>
      </c>
      <c r="K184" s="501"/>
      <c r="L184" s="502"/>
      <c r="M184" s="114"/>
      <c r="N184" s="115"/>
      <c r="O184" s="116"/>
    </row>
    <row r="185" spans="1:15" ht="16.5" thickBot="1" x14ac:dyDescent="0.3">
      <c r="A185" s="90"/>
      <c r="B185" s="99"/>
      <c r="C185" s="99"/>
      <c r="D185" s="99"/>
      <c r="E185" s="99"/>
      <c r="F185" s="99"/>
      <c r="G185" s="91"/>
      <c r="I185" s="90"/>
      <c r="J185" s="99"/>
      <c r="K185" s="99"/>
      <c r="L185" s="99"/>
      <c r="M185" s="99"/>
      <c r="N185" s="99"/>
      <c r="O185" s="91"/>
    </row>
    <row r="186" spans="1:15" s="117" customFormat="1" ht="30" customHeight="1" thickBot="1" x14ac:dyDescent="0.35">
      <c r="A186" s="113"/>
      <c r="B186" s="500" t="str">
        <f>KWALIFICATIE!Y28</f>
        <v>TEC-BTV</v>
      </c>
      <c r="C186" s="501"/>
      <c r="D186" s="502"/>
      <c r="E186" s="114"/>
      <c r="F186" s="115"/>
      <c r="G186" s="116"/>
      <c r="I186" s="113"/>
      <c r="J186" s="500" t="str">
        <f>KWALIFICATIE!Y29</f>
        <v>De Dinkies</v>
      </c>
      <c r="K186" s="501"/>
      <c r="L186" s="502"/>
      <c r="M186" s="114"/>
      <c r="N186" s="115"/>
      <c r="O186" s="116"/>
    </row>
    <row r="187" spans="1:15" ht="12" customHeight="1" x14ac:dyDescent="0.25">
      <c r="A187" s="90"/>
      <c r="B187" s="99"/>
      <c r="C187" s="99"/>
      <c r="D187" s="99"/>
      <c r="E187" s="99"/>
      <c r="F187" s="99"/>
      <c r="G187" s="91"/>
      <c r="I187" s="90"/>
      <c r="J187" s="99"/>
      <c r="K187" s="99"/>
      <c r="L187" s="99"/>
      <c r="M187" s="99"/>
      <c r="N187" s="99"/>
      <c r="O187" s="91"/>
    </row>
    <row r="188" spans="1:15" ht="13.5" customHeight="1" x14ac:dyDescent="0.25">
      <c r="A188" s="90"/>
      <c r="B188" s="498" t="str">
        <f>B152</f>
        <v>SCOREKAART - HVC2016</v>
      </c>
      <c r="C188" s="498"/>
      <c r="D188" s="498"/>
      <c r="E188" s="498"/>
      <c r="F188" s="498"/>
      <c r="G188" s="91"/>
      <c r="I188" s="90"/>
      <c r="J188" s="498" t="str">
        <f>B152</f>
        <v>SCOREKAART - HVC2016</v>
      </c>
      <c r="K188" s="498"/>
      <c r="L188" s="498"/>
      <c r="M188" s="498"/>
      <c r="N188" s="498"/>
      <c r="O188" s="91"/>
    </row>
    <row r="189" spans="1:15" ht="12" customHeight="1" thickBot="1" x14ac:dyDescent="0.3">
      <c r="A189" s="101"/>
      <c r="B189" s="102"/>
      <c r="C189" s="102"/>
      <c r="D189" s="102"/>
      <c r="E189" s="102"/>
      <c r="F189" s="102"/>
      <c r="G189" s="103"/>
      <c r="I189" s="101"/>
      <c r="J189" s="102"/>
      <c r="K189" s="102"/>
      <c r="L189" s="102"/>
      <c r="M189" s="102"/>
      <c r="N189" s="102"/>
      <c r="O189" s="103"/>
    </row>
    <row r="190" spans="1:15" ht="16.5" thickBot="1" x14ac:dyDescent="0.3">
      <c r="A190" s="86"/>
      <c r="B190" s="87"/>
      <c r="C190" s="87"/>
      <c r="D190" s="87"/>
      <c r="E190" s="87"/>
      <c r="F190" s="87"/>
      <c r="G190" s="88"/>
      <c r="I190" s="86"/>
      <c r="J190" s="87"/>
      <c r="K190" s="87"/>
      <c r="L190" s="87"/>
      <c r="M190" s="87"/>
      <c r="N190" s="87"/>
      <c r="O190" s="88"/>
    </row>
    <row r="191" spans="1:15" ht="20.25" customHeight="1" thickBot="1" x14ac:dyDescent="0.3">
      <c r="A191" s="90"/>
      <c r="B191" s="506" t="str">
        <f>START!D6</f>
        <v>KWALIFICATIE</v>
      </c>
      <c r="C191" s="504"/>
      <c r="D191" s="505"/>
      <c r="E191" s="106"/>
      <c r="F191" s="105" t="str">
        <f>F180</f>
        <v>RONDE 6</v>
      </c>
      <c r="G191" s="91"/>
      <c r="I191" s="90"/>
      <c r="J191" s="503" t="str">
        <f>B191</f>
        <v>KWALIFICATIE</v>
      </c>
      <c r="K191" s="504"/>
      <c r="L191" s="505"/>
      <c r="M191" s="106"/>
      <c r="N191" s="105" t="str">
        <f>F191</f>
        <v>RONDE 6</v>
      </c>
      <c r="O191" s="91"/>
    </row>
    <row r="192" spans="1:15" ht="9.75" customHeight="1" thickBot="1" x14ac:dyDescent="0.3">
      <c r="A192" s="90"/>
      <c r="B192" s="92"/>
      <c r="C192" s="92"/>
      <c r="D192" s="92"/>
      <c r="E192" s="92"/>
      <c r="F192" s="93"/>
      <c r="G192" s="91"/>
      <c r="I192" s="90"/>
      <c r="J192" s="92"/>
      <c r="K192" s="92"/>
      <c r="L192" s="92"/>
      <c r="M192" s="92"/>
      <c r="N192" s="93"/>
      <c r="O192" s="91"/>
    </row>
    <row r="193" spans="1:15" s="96" customFormat="1" ht="19.5" customHeight="1" thickBot="1" x14ac:dyDescent="0.3">
      <c r="A193" s="94"/>
      <c r="B193" s="499" t="str">
        <f>B182</f>
        <v>11:45 - 12:00 uur</v>
      </c>
      <c r="C193" s="496"/>
      <c r="D193" s="496"/>
      <c r="E193" s="497"/>
      <c r="F193" s="104" t="s">
        <v>251</v>
      </c>
      <c r="G193" s="95"/>
      <c r="I193" s="94"/>
      <c r="J193" s="495" t="str">
        <f>B193</f>
        <v>11:45 - 12:00 uur</v>
      </c>
      <c r="K193" s="496"/>
      <c r="L193" s="496"/>
      <c r="M193" s="497"/>
      <c r="N193" s="104" t="s">
        <v>252</v>
      </c>
      <c r="O193" s="95"/>
    </row>
    <row r="194" spans="1:15" ht="14.25" customHeight="1" thickBot="1" x14ac:dyDescent="0.3">
      <c r="A194" s="90"/>
      <c r="B194" s="97"/>
      <c r="C194" s="92"/>
      <c r="D194" s="92"/>
      <c r="E194" s="92"/>
      <c r="F194" s="98"/>
      <c r="G194" s="91"/>
      <c r="I194" s="90"/>
      <c r="J194" s="97"/>
      <c r="K194" s="92"/>
      <c r="L194" s="92"/>
      <c r="M194" s="92"/>
      <c r="N194" s="98"/>
      <c r="O194" s="91"/>
    </row>
    <row r="195" spans="1:15" s="117" customFormat="1" ht="30" customHeight="1" thickBot="1" x14ac:dyDescent="0.35">
      <c r="A195" s="113"/>
      <c r="B195" s="500" t="str">
        <f>KWALIFICATIE!T30</f>
        <v>Scherp Online</v>
      </c>
      <c r="C195" s="501"/>
      <c r="D195" s="502"/>
      <c r="E195" s="114"/>
      <c r="F195" s="115"/>
      <c r="G195" s="116"/>
      <c r="I195" s="113"/>
      <c r="J195" s="500" t="str">
        <f>KWALIFICATIE!T31</f>
        <v>Fred Bacon Zalf-fabriekje</v>
      </c>
      <c r="K195" s="501"/>
      <c r="L195" s="502"/>
      <c r="M195" s="114"/>
      <c r="N195" s="115"/>
      <c r="O195" s="116"/>
    </row>
    <row r="196" spans="1:15" ht="16.5" thickBot="1" x14ac:dyDescent="0.3">
      <c r="A196" s="90"/>
      <c r="B196" s="99"/>
      <c r="C196" s="99"/>
      <c r="D196" s="99"/>
      <c r="E196" s="99"/>
      <c r="F196" s="99"/>
      <c r="G196" s="91"/>
      <c r="I196" s="90"/>
      <c r="J196" s="99"/>
      <c r="K196" s="99"/>
      <c r="L196" s="99"/>
      <c r="M196" s="99"/>
      <c r="N196" s="99"/>
      <c r="O196" s="91"/>
    </row>
    <row r="197" spans="1:15" s="117" customFormat="1" ht="30" customHeight="1" thickBot="1" x14ac:dyDescent="0.35">
      <c r="A197" s="113"/>
      <c r="B197" s="500" t="str">
        <f>KWALIFICATIE!Y30</f>
        <v>#illuminaticonfirmed</v>
      </c>
      <c r="C197" s="501"/>
      <c r="D197" s="502"/>
      <c r="E197" s="114"/>
      <c r="F197" s="115"/>
      <c r="G197" s="116"/>
      <c r="I197" s="113"/>
      <c r="J197" s="500" t="str">
        <f>KWALIFICATIE!Y31</f>
        <v>Team Bublé</v>
      </c>
      <c r="K197" s="501"/>
      <c r="L197" s="502"/>
      <c r="M197" s="114"/>
      <c r="N197" s="115"/>
      <c r="O197" s="116"/>
    </row>
    <row r="198" spans="1:15" ht="12" customHeight="1" x14ac:dyDescent="0.25">
      <c r="A198" s="90"/>
      <c r="B198" s="99"/>
      <c r="C198" s="99"/>
      <c r="D198" s="99"/>
      <c r="E198" s="99"/>
      <c r="F198" s="99"/>
      <c r="G198" s="91"/>
      <c r="I198" s="90"/>
      <c r="J198" s="99"/>
      <c r="K198" s="99"/>
      <c r="L198" s="99"/>
      <c r="M198" s="99"/>
      <c r="N198" s="99"/>
      <c r="O198" s="91"/>
    </row>
    <row r="199" spans="1:15" ht="13.5" customHeight="1" x14ac:dyDescent="0.25">
      <c r="A199" s="90"/>
      <c r="B199" s="498" t="str">
        <f>B188</f>
        <v>SCOREKAART - HVC2016</v>
      </c>
      <c r="C199" s="498"/>
      <c r="D199" s="498"/>
      <c r="E199" s="498"/>
      <c r="F199" s="498"/>
      <c r="G199" s="91"/>
      <c r="I199" s="90"/>
      <c r="J199" s="498" t="str">
        <f>B199</f>
        <v>SCOREKAART - HVC2016</v>
      </c>
      <c r="K199" s="498"/>
      <c r="L199" s="498"/>
      <c r="M199" s="498"/>
      <c r="N199" s="498"/>
      <c r="O199" s="91"/>
    </row>
    <row r="200" spans="1:15" ht="11.25" customHeight="1" thickBot="1" x14ac:dyDescent="0.3">
      <c r="A200" s="101"/>
      <c r="B200" s="102"/>
      <c r="C200" s="102"/>
      <c r="D200" s="102"/>
      <c r="E200" s="102"/>
      <c r="F200" s="102"/>
      <c r="G200" s="103"/>
      <c r="I200" s="101"/>
      <c r="J200" s="102"/>
      <c r="K200" s="102"/>
      <c r="L200" s="102"/>
      <c r="M200" s="102"/>
      <c r="N200" s="102"/>
      <c r="O200" s="103"/>
    </row>
    <row r="201" spans="1:15" ht="13.5" customHeight="1" thickBot="1" x14ac:dyDescent="0.3">
      <c r="A201" s="99"/>
      <c r="B201" s="99"/>
      <c r="C201" s="99"/>
      <c r="D201" s="99"/>
      <c r="E201" s="99"/>
      <c r="F201" s="99"/>
      <c r="G201" s="99"/>
      <c r="I201" s="99"/>
      <c r="J201" s="99"/>
      <c r="K201" s="99"/>
      <c r="L201" s="99"/>
      <c r="M201" s="99"/>
      <c r="N201" s="99"/>
      <c r="O201" s="99"/>
    </row>
    <row r="202" spans="1:15" ht="16.5" thickBot="1" x14ac:dyDescent="0.3">
      <c r="A202" s="86"/>
      <c r="B202" s="87"/>
      <c r="C202" s="87"/>
      <c r="D202" s="87"/>
      <c r="E202" s="87"/>
      <c r="F202" s="87"/>
      <c r="G202" s="88"/>
      <c r="I202" s="86"/>
      <c r="J202" s="87"/>
      <c r="K202" s="87"/>
      <c r="L202" s="87"/>
      <c r="M202" s="87"/>
      <c r="N202" s="87"/>
      <c r="O202" s="88"/>
    </row>
    <row r="203" spans="1:15" ht="20.100000000000001" customHeight="1" thickBot="1" x14ac:dyDescent="0.3">
      <c r="A203" s="90"/>
      <c r="B203" s="503" t="str">
        <f>B191</f>
        <v>KWALIFICATIE</v>
      </c>
      <c r="C203" s="504"/>
      <c r="D203" s="505"/>
      <c r="E203" s="106"/>
      <c r="F203" s="105" t="str">
        <f>F191</f>
        <v>RONDE 6</v>
      </c>
      <c r="G203" s="91"/>
      <c r="I203" s="90"/>
      <c r="J203" s="503" t="str">
        <f>B191</f>
        <v>KWALIFICATIE</v>
      </c>
      <c r="K203" s="504"/>
      <c r="L203" s="505"/>
      <c r="M203" s="106"/>
      <c r="N203" s="105" t="str">
        <f>F191</f>
        <v>RONDE 6</v>
      </c>
      <c r="O203" s="91"/>
    </row>
    <row r="204" spans="1:15" ht="9.75" customHeight="1" thickBot="1" x14ac:dyDescent="0.3">
      <c r="A204" s="90"/>
      <c r="B204" s="92"/>
      <c r="C204" s="92"/>
      <c r="D204" s="92"/>
      <c r="E204" s="92"/>
      <c r="F204" s="93"/>
      <c r="G204" s="91"/>
      <c r="I204" s="90"/>
      <c r="J204" s="92"/>
      <c r="K204" s="92"/>
      <c r="L204" s="92"/>
      <c r="M204" s="92"/>
      <c r="N204" s="93"/>
      <c r="O204" s="91"/>
    </row>
    <row r="205" spans="1:15" ht="20.100000000000001" customHeight="1" thickBot="1" x14ac:dyDescent="0.3">
      <c r="A205" s="94"/>
      <c r="B205" s="495" t="str">
        <f>B193</f>
        <v>11:45 - 12:00 uur</v>
      </c>
      <c r="C205" s="496"/>
      <c r="D205" s="496"/>
      <c r="E205" s="497"/>
      <c r="F205" s="104" t="s">
        <v>253</v>
      </c>
      <c r="G205" s="95"/>
      <c r="H205" s="96"/>
      <c r="I205" s="94"/>
      <c r="J205" s="495" t="str">
        <f>B193</f>
        <v>11:45 - 12:00 uur</v>
      </c>
      <c r="K205" s="496"/>
      <c r="L205" s="496"/>
      <c r="M205" s="497"/>
      <c r="N205" s="104" t="s">
        <v>254</v>
      </c>
      <c r="O205" s="95"/>
    </row>
    <row r="206" spans="1:15" ht="13.5" customHeight="1" thickBot="1" x14ac:dyDescent="0.3">
      <c r="A206" s="90"/>
      <c r="B206" s="97"/>
      <c r="C206" s="92"/>
      <c r="D206" s="92"/>
      <c r="E206" s="92"/>
      <c r="F206" s="98"/>
      <c r="G206" s="91"/>
      <c r="I206" s="90"/>
      <c r="J206" s="97"/>
      <c r="K206" s="92"/>
      <c r="L206" s="92"/>
      <c r="M206" s="92"/>
      <c r="N206" s="98"/>
      <c r="O206" s="91"/>
    </row>
    <row r="207" spans="1:15" s="117" customFormat="1" ht="30" customHeight="1" thickBot="1" x14ac:dyDescent="0.35">
      <c r="A207" s="113"/>
      <c r="B207" s="500" t="str">
        <f>KWALIFICATIE!T32</f>
        <v>Correctie veld 4</v>
      </c>
      <c r="C207" s="501"/>
      <c r="D207" s="502"/>
      <c r="E207" s="114"/>
      <c r="F207" s="115"/>
      <c r="G207" s="116"/>
      <c r="I207" s="113"/>
      <c r="J207" s="500" t="str">
        <f>KWALIFICATIE!T33</f>
        <v>Swiffie 5</v>
      </c>
      <c r="K207" s="501"/>
      <c r="L207" s="502"/>
      <c r="M207" s="114"/>
      <c r="N207" s="115"/>
      <c r="O207" s="116"/>
    </row>
    <row r="208" spans="1:15" ht="16.5" thickBot="1" x14ac:dyDescent="0.3">
      <c r="A208" s="90"/>
      <c r="B208" s="99"/>
      <c r="C208" s="99"/>
      <c r="D208" s="99"/>
      <c r="E208" s="99"/>
      <c r="F208" s="99"/>
      <c r="G208" s="91"/>
      <c r="I208" s="90"/>
      <c r="J208" s="99"/>
      <c r="K208" s="99"/>
      <c r="L208" s="99"/>
      <c r="M208" s="99"/>
      <c r="N208" s="99"/>
      <c r="O208" s="91"/>
    </row>
    <row r="209" spans="1:15" s="117" customFormat="1" ht="30" customHeight="1" thickBot="1" x14ac:dyDescent="0.35">
      <c r="A209" s="113"/>
      <c r="B209" s="500" t="str">
        <f>KWALIFICATIE!Y32</f>
        <v>Patti don't shout @ me</v>
      </c>
      <c r="C209" s="501"/>
      <c r="D209" s="502"/>
      <c r="E209" s="114"/>
      <c r="F209" s="115"/>
      <c r="G209" s="116"/>
      <c r="I209" s="113"/>
      <c r="J209" s="437" t="str">
        <f>KWALIFICATIE!Y33</f>
        <v>Sporting Almere</v>
      </c>
      <c r="K209" s="438"/>
      <c r="L209" s="439"/>
      <c r="M209" s="114"/>
      <c r="N209" s="115"/>
      <c r="O209" s="116"/>
    </row>
    <row r="210" spans="1:15" ht="12" customHeight="1" x14ac:dyDescent="0.25">
      <c r="A210" s="90"/>
      <c r="B210" s="99"/>
      <c r="C210" s="99"/>
      <c r="D210" s="99"/>
      <c r="E210" s="99"/>
      <c r="F210" s="99"/>
      <c r="G210" s="91"/>
      <c r="I210" s="90"/>
      <c r="J210" s="99"/>
      <c r="K210" s="99"/>
      <c r="L210" s="99"/>
      <c r="M210" s="99"/>
      <c r="N210" s="99"/>
      <c r="O210" s="91"/>
    </row>
    <row r="211" spans="1:15" ht="13.5" customHeight="1" x14ac:dyDescent="0.25">
      <c r="A211" s="90"/>
      <c r="B211" s="498" t="str">
        <f>B199</f>
        <v>SCOREKAART - HVC2016</v>
      </c>
      <c r="C211" s="498"/>
      <c r="D211" s="498"/>
      <c r="E211" s="498"/>
      <c r="F211" s="498"/>
      <c r="G211" s="91"/>
      <c r="I211" s="90"/>
      <c r="J211" s="498" t="str">
        <f>B199</f>
        <v>SCOREKAART - HVC2016</v>
      </c>
      <c r="K211" s="498"/>
      <c r="L211" s="498"/>
      <c r="M211" s="498"/>
      <c r="N211" s="498"/>
      <c r="O211" s="91"/>
    </row>
    <row r="212" spans="1:15" ht="11.25" customHeight="1" thickBot="1" x14ac:dyDescent="0.3">
      <c r="A212" s="101"/>
      <c r="B212" s="102"/>
      <c r="C212" s="102"/>
      <c r="D212" s="102"/>
      <c r="E212" s="102"/>
      <c r="F212" s="102"/>
      <c r="G212" s="103"/>
      <c r="I212" s="101"/>
      <c r="J212" s="102"/>
      <c r="K212" s="102"/>
      <c r="L212" s="102"/>
      <c r="M212" s="102"/>
      <c r="N212" s="102"/>
      <c r="O212" s="103"/>
    </row>
    <row r="213" spans="1:15" ht="14.1" customHeight="1" thickBot="1" x14ac:dyDescent="0.3">
      <c r="A213" s="107"/>
      <c r="B213" s="99"/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107"/>
    </row>
    <row r="214" spans="1:15" ht="16.5" customHeight="1" thickBot="1" x14ac:dyDescent="0.3">
      <c r="A214" s="86"/>
      <c r="B214" s="87"/>
      <c r="C214" s="87"/>
      <c r="D214" s="87"/>
      <c r="E214" s="87"/>
      <c r="F214" s="87"/>
      <c r="G214" s="88"/>
      <c r="I214" s="86"/>
      <c r="J214" s="87"/>
      <c r="K214" s="87"/>
      <c r="L214" s="87"/>
      <c r="M214" s="87"/>
      <c r="N214" s="87"/>
      <c r="O214" s="88"/>
    </row>
    <row r="215" spans="1:15" ht="20.100000000000001" customHeight="1" thickBot="1" x14ac:dyDescent="0.3">
      <c r="A215" s="90"/>
      <c r="B215" s="503" t="str">
        <f>B191</f>
        <v>KWALIFICATIE</v>
      </c>
      <c r="C215" s="504"/>
      <c r="D215" s="505"/>
      <c r="E215" s="106"/>
      <c r="F215" s="136" t="s">
        <v>24</v>
      </c>
      <c r="G215" s="91"/>
      <c r="I215" s="90"/>
      <c r="J215" s="503" t="str">
        <f>B191</f>
        <v>KWALIFICATIE</v>
      </c>
      <c r="K215" s="504"/>
      <c r="L215" s="505"/>
      <c r="M215" s="106"/>
      <c r="N215" s="105" t="str">
        <f>F215</f>
        <v>RONDE 7</v>
      </c>
      <c r="O215" s="91"/>
    </row>
    <row r="216" spans="1:15" ht="13.5" customHeight="1" thickBot="1" x14ac:dyDescent="0.3">
      <c r="A216" s="90"/>
      <c r="B216" s="92"/>
      <c r="C216" s="92"/>
      <c r="D216" s="92"/>
      <c r="E216" s="92"/>
      <c r="F216" s="93"/>
      <c r="G216" s="91"/>
      <c r="I216" s="90"/>
      <c r="J216" s="92"/>
      <c r="K216" s="92"/>
      <c r="L216" s="92"/>
      <c r="M216" s="92"/>
      <c r="N216" s="93"/>
      <c r="O216" s="91"/>
    </row>
    <row r="217" spans="1:15" ht="20.100000000000001" customHeight="1" thickBot="1" x14ac:dyDescent="0.3">
      <c r="A217" s="94"/>
      <c r="B217" s="495" t="str">
        <f>START!B8</f>
        <v>12:00 - 12:15 uur</v>
      </c>
      <c r="C217" s="496"/>
      <c r="D217" s="496"/>
      <c r="E217" s="497"/>
      <c r="F217" s="104" t="s">
        <v>249</v>
      </c>
      <c r="G217" s="95"/>
      <c r="H217" s="96"/>
      <c r="I217" s="94"/>
      <c r="J217" s="495" t="str">
        <f>B217</f>
        <v>12:00 - 12:15 uur</v>
      </c>
      <c r="K217" s="496"/>
      <c r="L217" s="496"/>
      <c r="M217" s="497"/>
      <c r="N217" s="104" t="s">
        <v>250</v>
      </c>
      <c r="O217" s="95"/>
    </row>
    <row r="218" spans="1:15" ht="13.5" customHeight="1" thickBot="1" x14ac:dyDescent="0.3">
      <c r="A218" s="90"/>
      <c r="B218" s="97"/>
      <c r="C218" s="92"/>
      <c r="D218" s="92"/>
      <c r="E218" s="92"/>
      <c r="F218" s="98"/>
      <c r="G218" s="91"/>
      <c r="I218" s="90"/>
      <c r="J218" s="97"/>
      <c r="K218" s="92"/>
      <c r="L218" s="92"/>
      <c r="M218" s="92"/>
      <c r="N218" s="98"/>
      <c r="O218" s="91"/>
    </row>
    <row r="219" spans="1:15" s="117" customFormat="1" ht="30" customHeight="1" thickBot="1" x14ac:dyDescent="0.35">
      <c r="A219" s="113"/>
      <c r="B219" s="500" t="str">
        <f>KWALIFICATIE!T36</f>
        <v>De Westfriesies</v>
      </c>
      <c r="C219" s="501"/>
      <c r="D219" s="502"/>
      <c r="E219" s="114"/>
      <c r="F219" s="115"/>
      <c r="G219" s="116"/>
      <c r="I219" s="113"/>
      <c r="J219" s="500" t="str">
        <f>KWALIFICATIE!T37</f>
        <v>KFC zaterdag VR 35+</v>
      </c>
      <c r="K219" s="501"/>
      <c r="L219" s="502"/>
      <c r="M219" s="114"/>
      <c r="N219" s="115"/>
      <c r="O219" s="116"/>
    </row>
    <row r="220" spans="1:15" ht="16.5" thickBot="1" x14ac:dyDescent="0.3">
      <c r="A220" s="90"/>
      <c r="B220" s="99"/>
      <c r="C220" s="99"/>
      <c r="D220" s="99"/>
      <c r="E220" s="99"/>
      <c r="F220" s="99"/>
      <c r="G220" s="91"/>
      <c r="I220" s="90"/>
      <c r="J220" s="99"/>
      <c r="K220" s="99"/>
      <c r="L220" s="99"/>
      <c r="M220" s="99"/>
      <c r="N220" s="99"/>
      <c r="O220" s="91"/>
    </row>
    <row r="221" spans="1:15" s="117" customFormat="1" ht="30" customHeight="1" thickBot="1" x14ac:dyDescent="0.35">
      <c r="A221" s="113"/>
      <c r="B221" s="500" t="str">
        <f>KWALIFICATIE!Y36</f>
        <v>AMVJ</v>
      </c>
      <c r="C221" s="501"/>
      <c r="D221" s="502"/>
      <c r="E221" s="114"/>
      <c r="F221" s="115"/>
      <c r="G221" s="116"/>
      <c r="I221" s="113"/>
      <c r="J221" s="500" t="str">
        <f>KWALIFICATIE!Y37</f>
        <v>Fortius 1 dames 35+</v>
      </c>
      <c r="K221" s="501"/>
      <c r="L221" s="502"/>
      <c r="M221" s="114"/>
      <c r="N221" s="115"/>
      <c r="O221" s="116"/>
    </row>
    <row r="222" spans="1:15" ht="12" customHeight="1" x14ac:dyDescent="0.25">
      <c r="A222" s="90"/>
      <c r="B222" s="99"/>
      <c r="C222" s="99"/>
      <c r="D222" s="99"/>
      <c r="E222" s="99"/>
      <c r="F222" s="99"/>
      <c r="G222" s="91"/>
      <c r="I222" s="90"/>
      <c r="J222" s="99"/>
      <c r="K222" s="99"/>
      <c r="L222" s="99"/>
      <c r="M222" s="99"/>
      <c r="N222" s="99"/>
      <c r="O222" s="91"/>
    </row>
    <row r="223" spans="1:15" ht="13.5" customHeight="1" x14ac:dyDescent="0.25">
      <c r="A223" s="90"/>
      <c r="B223" s="498" t="str">
        <f>B199</f>
        <v>SCOREKAART - HVC2016</v>
      </c>
      <c r="C223" s="498"/>
      <c r="D223" s="498"/>
      <c r="E223" s="498"/>
      <c r="F223" s="498"/>
      <c r="G223" s="91"/>
      <c r="I223" s="90"/>
      <c r="J223" s="498" t="str">
        <f>B199</f>
        <v>SCOREKAART - HVC2016</v>
      </c>
      <c r="K223" s="498"/>
      <c r="L223" s="498"/>
      <c r="M223" s="498"/>
      <c r="N223" s="498"/>
      <c r="O223" s="91"/>
    </row>
    <row r="224" spans="1:15" ht="12" customHeight="1" thickBot="1" x14ac:dyDescent="0.3">
      <c r="A224" s="101"/>
      <c r="B224" s="102"/>
      <c r="C224" s="102"/>
      <c r="D224" s="102"/>
      <c r="E224" s="102"/>
      <c r="F224" s="102"/>
      <c r="G224" s="103"/>
      <c r="I224" s="101"/>
      <c r="J224" s="102"/>
      <c r="K224" s="102"/>
      <c r="L224" s="102"/>
      <c r="M224" s="102"/>
      <c r="N224" s="102"/>
      <c r="O224" s="103"/>
    </row>
    <row r="225" spans="1:15" ht="14.1" customHeight="1" thickBot="1" x14ac:dyDescent="0.3">
      <c r="A225" s="107"/>
      <c r="B225" s="99"/>
      <c r="C225" s="99"/>
      <c r="D225" s="99"/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107"/>
    </row>
    <row r="226" spans="1:15" ht="16.5" thickBot="1" x14ac:dyDescent="0.3">
      <c r="A226" s="86"/>
      <c r="B226" s="87"/>
      <c r="C226" s="87"/>
      <c r="D226" s="87"/>
      <c r="E226" s="87"/>
      <c r="F226" s="87"/>
      <c r="G226" s="88"/>
      <c r="I226" s="86"/>
      <c r="J226" s="87"/>
      <c r="K226" s="87"/>
      <c r="L226" s="87"/>
      <c r="M226" s="87"/>
      <c r="N226" s="87"/>
      <c r="O226" s="88"/>
    </row>
    <row r="227" spans="1:15" ht="20.100000000000001" customHeight="1" thickBot="1" x14ac:dyDescent="0.3">
      <c r="A227" s="90"/>
      <c r="B227" s="503" t="str">
        <f>B191</f>
        <v>KWALIFICATIE</v>
      </c>
      <c r="C227" s="504"/>
      <c r="D227" s="505"/>
      <c r="E227" s="106"/>
      <c r="F227" s="105" t="str">
        <f>F215</f>
        <v>RONDE 7</v>
      </c>
      <c r="G227" s="91"/>
      <c r="I227" s="90"/>
      <c r="J227" s="503" t="str">
        <f>B191</f>
        <v>KWALIFICATIE</v>
      </c>
      <c r="K227" s="504"/>
      <c r="L227" s="505"/>
      <c r="M227" s="106"/>
      <c r="N227" s="105" t="str">
        <f>F215</f>
        <v>RONDE 7</v>
      </c>
      <c r="O227" s="91"/>
    </row>
    <row r="228" spans="1:15" ht="13.5" customHeight="1" thickBot="1" x14ac:dyDescent="0.3">
      <c r="A228" s="90"/>
      <c r="B228" s="92"/>
      <c r="C228" s="92"/>
      <c r="D228" s="92"/>
      <c r="E228" s="92"/>
      <c r="F228" s="93"/>
      <c r="G228" s="91"/>
      <c r="I228" s="90"/>
      <c r="J228" s="92"/>
      <c r="K228" s="92"/>
      <c r="L228" s="92"/>
      <c r="M228" s="92"/>
      <c r="N228" s="93"/>
      <c r="O228" s="91"/>
    </row>
    <row r="229" spans="1:15" ht="20.100000000000001" customHeight="1" thickBot="1" x14ac:dyDescent="0.3">
      <c r="A229" s="94"/>
      <c r="B229" s="495" t="str">
        <f>B217</f>
        <v>12:00 - 12:15 uur</v>
      </c>
      <c r="C229" s="496"/>
      <c r="D229" s="496"/>
      <c r="E229" s="497"/>
      <c r="F229" s="104" t="s">
        <v>251</v>
      </c>
      <c r="G229" s="95"/>
      <c r="H229" s="96"/>
      <c r="I229" s="94"/>
      <c r="J229" s="495" t="str">
        <f>B217</f>
        <v>12:00 - 12:15 uur</v>
      </c>
      <c r="K229" s="496"/>
      <c r="L229" s="496"/>
      <c r="M229" s="497"/>
      <c r="N229" s="104" t="s">
        <v>252</v>
      </c>
      <c r="O229" s="95"/>
    </row>
    <row r="230" spans="1:15" ht="13.5" customHeight="1" thickBot="1" x14ac:dyDescent="0.3">
      <c r="A230" s="90"/>
      <c r="B230" s="97"/>
      <c r="C230" s="92"/>
      <c r="D230" s="92"/>
      <c r="E230" s="92"/>
      <c r="F230" s="98"/>
      <c r="G230" s="91"/>
      <c r="I230" s="90"/>
      <c r="J230" s="97"/>
      <c r="K230" s="92"/>
      <c r="L230" s="92"/>
      <c r="M230" s="92"/>
      <c r="N230" s="98"/>
      <c r="O230" s="91"/>
    </row>
    <row r="231" spans="1:15" s="117" customFormat="1" ht="30" customHeight="1" thickBot="1" x14ac:dyDescent="0.35">
      <c r="A231" s="113"/>
      <c r="B231" s="500" t="str">
        <f>KWALIFICATIE!T38</f>
        <v>FC Isjeneefer</v>
      </c>
      <c r="C231" s="501"/>
      <c r="D231" s="502"/>
      <c r="E231" s="114"/>
      <c r="F231" s="115"/>
      <c r="G231" s="116"/>
      <c r="I231" s="113"/>
      <c r="J231" s="500">
        <f>KWALIFICATIE!T39</f>
        <v>0</v>
      </c>
      <c r="K231" s="501"/>
      <c r="L231" s="502"/>
      <c r="M231" s="114"/>
      <c r="N231" s="115"/>
      <c r="O231" s="116"/>
    </row>
    <row r="232" spans="1:15" ht="16.5" thickBot="1" x14ac:dyDescent="0.3">
      <c r="A232" s="90"/>
      <c r="B232" s="99"/>
      <c r="C232" s="99"/>
      <c r="D232" s="99"/>
      <c r="E232" s="99"/>
      <c r="F232" s="99"/>
      <c r="G232" s="91"/>
      <c r="I232" s="90"/>
      <c r="J232" s="99"/>
      <c r="K232" s="99"/>
      <c r="L232" s="99"/>
      <c r="M232" s="99"/>
      <c r="N232" s="99"/>
      <c r="O232" s="91"/>
    </row>
    <row r="233" spans="1:15" s="117" customFormat="1" ht="30" customHeight="1" thickBot="1" x14ac:dyDescent="0.35">
      <c r="A233" s="113"/>
      <c r="B233" s="500" t="str">
        <f>KWALIFICATIE!Y38</f>
        <v>Orion</v>
      </c>
      <c r="C233" s="501"/>
      <c r="D233" s="502"/>
      <c r="E233" s="114"/>
      <c r="F233" s="115"/>
      <c r="G233" s="116"/>
      <c r="I233" s="113"/>
      <c r="J233" s="500">
        <f>KWALIFICATIE!Y39</f>
        <v>0</v>
      </c>
      <c r="K233" s="501"/>
      <c r="L233" s="502"/>
      <c r="M233" s="114"/>
      <c r="N233" s="115"/>
      <c r="O233" s="116"/>
    </row>
    <row r="234" spans="1:15" ht="12" customHeight="1" x14ac:dyDescent="0.25">
      <c r="A234" s="90"/>
      <c r="B234" s="99"/>
      <c r="C234" s="99"/>
      <c r="D234" s="99"/>
      <c r="E234" s="99"/>
      <c r="F234" s="99"/>
      <c r="G234" s="91"/>
      <c r="I234" s="90"/>
      <c r="J234" s="99"/>
      <c r="K234" s="99"/>
      <c r="L234" s="99"/>
      <c r="M234" s="99"/>
      <c r="N234" s="99"/>
      <c r="O234" s="91"/>
    </row>
    <row r="235" spans="1:15" ht="13.5" customHeight="1" x14ac:dyDescent="0.25">
      <c r="A235" s="90"/>
      <c r="B235" s="498" t="str">
        <f>B199</f>
        <v>SCOREKAART - HVC2016</v>
      </c>
      <c r="C235" s="498"/>
      <c r="D235" s="498"/>
      <c r="E235" s="498"/>
      <c r="F235" s="498"/>
      <c r="G235" s="91"/>
      <c r="I235" s="90"/>
      <c r="J235" s="498" t="str">
        <f>B199</f>
        <v>SCOREKAART - HVC2016</v>
      </c>
      <c r="K235" s="498"/>
      <c r="L235" s="498"/>
      <c r="M235" s="498"/>
      <c r="N235" s="498"/>
      <c r="O235" s="91"/>
    </row>
    <row r="236" spans="1:15" ht="12" customHeight="1" thickBot="1" x14ac:dyDescent="0.3">
      <c r="A236" s="101"/>
      <c r="B236" s="102"/>
      <c r="C236" s="102"/>
      <c r="D236" s="102"/>
      <c r="E236" s="102"/>
      <c r="F236" s="102"/>
      <c r="G236" s="103"/>
      <c r="I236" s="101"/>
      <c r="J236" s="102"/>
      <c r="K236" s="102"/>
      <c r="L236" s="102"/>
      <c r="M236" s="102"/>
      <c r="N236" s="102"/>
      <c r="O236" s="103"/>
    </row>
    <row r="237" spans="1:15" ht="16.5" thickBot="1" x14ac:dyDescent="0.3">
      <c r="A237" s="86"/>
      <c r="B237" s="87"/>
      <c r="C237" s="87"/>
      <c r="D237" s="87"/>
      <c r="E237" s="87"/>
      <c r="F237" s="87"/>
      <c r="G237" s="88"/>
      <c r="I237" s="86"/>
      <c r="J237" s="87"/>
      <c r="K237" s="87"/>
      <c r="L237" s="87"/>
      <c r="M237" s="87"/>
      <c r="N237" s="87"/>
      <c r="O237" s="88"/>
    </row>
    <row r="238" spans="1:15" ht="20.25" customHeight="1" thickBot="1" x14ac:dyDescent="0.3">
      <c r="A238" s="90"/>
      <c r="B238" s="506" t="str">
        <f>START!D7</f>
        <v>KWALIFICATIE</v>
      </c>
      <c r="C238" s="504"/>
      <c r="D238" s="505"/>
      <c r="E238" s="106"/>
      <c r="F238" s="105" t="str">
        <f>F215</f>
        <v>RONDE 7</v>
      </c>
      <c r="G238" s="91"/>
      <c r="I238" s="90"/>
      <c r="J238" s="503" t="str">
        <f>B238</f>
        <v>KWALIFICATIE</v>
      </c>
      <c r="K238" s="504"/>
      <c r="L238" s="505"/>
      <c r="M238" s="106"/>
      <c r="N238" s="105" t="str">
        <f>F238</f>
        <v>RONDE 7</v>
      </c>
      <c r="O238" s="91"/>
    </row>
    <row r="239" spans="1:15" ht="9.75" customHeight="1" thickBot="1" x14ac:dyDescent="0.3">
      <c r="A239" s="90"/>
      <c r="B239" s="92"/>
      <c r="C239" s="92"/>
      <c r="D239" s="92"/>
      <c r="E239" s="92"/>
      <c r="F239" s="93"/>
      <c r="G239" s="91"/>
      <c r="I239" s="90"/>
      <c r="J239" s="92"/>
      <c r="K239" s="92"/>
      <c r="L239" s="92"/>
      <c r="M239" s="92"/>
      <c r="N239" s="93"/>
      <c r="O239" s="91"/>
    </row>
    <row r="240" spans="1:15" s="96" customFormat="1" ht="19.5" customHeight="1" thickBot="1" x14ac:dyDescent="0.3">
      <c r="A240" s="94"/>
      <c r="B240" s="499" t="str">
        <f>B217</f>
        <v>12:00 - 12:15 uur</v>
      </c>
      <c r="C240" s="496"/>
      <c r="D240" s="496"/>
      <c r="E240" s="497"/>
      <c r="F240" s="104" t="s">
        <v>253</v>
      </c>
      <c r="G240" s="95"/>
      <c r="I240" s="94"/>
      <c r="J240" s="495" t="str">
        <f>B217</f>
        <v>12:00 - 12:15 uur</v>
      </c>
      <c r="K240" s="496"/>
      <c r="L240" s="496"/>
      <c r="M240" s="497"/>
      <c r="N240" s="104" t="s">
        <v>254</v>
      </c>
      <c r="O240" s="95"/>
    </row>
    <row r="241" spans="1:15" ht="14.25" customHeight="1" thickBot="1" x14ac:dyDescent="0.3">
      <c r="A241" s="90"/>
      <c r="B241" s="97"/>
      <c r="C241" s="92"/>
      <c r="D241" s="92"/>
      <c r="E241" s="92"/>
      <c r="F241" s="98"/>
      <c r="G241" s="91"/>
      <c r="I241" s="90"/>
      <c r="J241" s="97"/>
      <c r="K241" s="92"/>
      <c r="L241" s="92"/>
      <c r="M241" s="92"/>
      <c r="N241" s="98"/>
      <c r="O241" s="91"/>
    </row>
    <row r="242" spans="1:15" s="117" customFormat="1" ht="30" customHeight="1" thickBot="1" x14ac:dyDescent="0.35">
      <c r="A242" s="113"/>
      <c r="B242" s="500" t="str">
        <f>KWALIFICATIE!T40</f>
        <v>De Torpedo's</v>
      </c>
      <c r="C242" s="501"/>
      <c r="D242" s="502"/>
      <c r="E242" s="114"/>
      <c r="F242" s="115"/>
      <c r="G242" s="116"/>
      <c r="I242" s="113"/>
      <c r="J242" s="500" t="str">
        <f>KWALIFICATIE!T41</f>
        <v>Asvv de Schollevers</v>
      </c>
      <c r="K242" s="501"/>
      <c r="L242" s="502"/>
      <c r="M242" s="114"/>
      <c r="N242" s="115"/>
      <c r="O242" s="116"/>
    </row>
    <row r="243" spans="1:15" ht="16.5" thickBot="1" x14ac:dyDescent="0.3">
      <c r="A243" s="90"/>
      <c r="B243" s="99"/>
      <c r="C243" s="99"/>
      <c r="D243" s="99"/>
      <c r="E243" s="99"/>
      <c r="F243" s="99"/>
      <c r="G243" s="91"/>
      <c r="I243" s="90"/>
      <c r="J243" s="99"/>
      <c r="K243" s="99"/>
      <c r="L243" s="99"/>
      <c r="M243" s="99"/>
      <c r="N243" s="99"/>
      <c r="O243" s="91"/>
    </row>
    <row r="244" spans="1:15" s="117" customFormat="1" ht="30" customHeight="1" thickBot="1" x14ac:dyDescent="0.35">
      <c r="A244" s="113"/>
      <c r="B244" s="500" t="str">
        <f>KWALIFICATIE!Y40</f>
        <v xml:space="preserve">De Pintjes </v>
      </c>
      <c r="C244" s="501"/>
      <c r="D244" s="502"/>
      <c r="E244" s="114"/>
      <c r="F244" s="115"/>
      <c r="G244" s="116"/>
      <c r="I244" s="113"/>
      <c r="J244" s="500" t="str">
        <f>KWALIFICATIE!Y41</f>
        <v>Het Bestuur</v>
      </c>
      <c r="K244" s="501"/>
      <c r="L244" s="502"/>
      <c r="M244" s="114"/>
      <c r="N244" s="115"/>
      <c r="O244" s="116"/>
    </row>
    <row r="245" spans="1:15" ht="12" customHeight="1" x14ac:dyDescent="0.25">
      <c r="A245" s="90"/>
      <c r="B245" s="99"/>
      <c r="C245" s="99"/>
      <c r="D245" s="99"/>
      <c r="E245" s="99"/>
      <c r="F245" s="99"/>
      <c r="G245" s="91"/>
      <c r="I245" s="90"/>
      <c r="J245" s="99"/>
      <c r="K245" s="99"/>
      <c r="L245" s="99"/>
      <c r="M245" s="99"/>
      <c r="N245" s="99"/>
      <c r="O245" s="91"/>
    </row>
    <row r="246" spans="1:15" ht="13.5" customHeight="1" x14ac:dyDescent="0.25">
      <c r="A246" s="90"/>
      <c r="B246" s="498" t="str">
        <f>B235</f>
        <v>SCOREKAART - HVC2016</v>
      </c>
      <c r="C246" s="498"/>
      <c r="D246" s="498"/>
      <c r="E246" s="498"/>
      <c r="F246" s="498"/>
      <c r="G246" s="91"/>
      <c r="I246" s="90"/>
      <c r="J246" s="498" t="str">
        <f>B246</f>
        <v>SCOREKAART - HVC2016</v>
      </c>
      <c r="K246" s="498"/>
      <c r="L246" s="498"/>
      <c r="M246" s="498"/>
      <c r="N246" s="498"/>
      <c r="O246" s="91"/>
    </row>
    <row r="247" spans="1:15" ht="11.25" customHeight="1" thickBot="1" x14ac:dyDescent="0.3">
      <c r="A247" s="101"/>
      <c r="B247" s="102"/>
      <c r="C247" s="102"/>
      <c r="D247" s="102"/>
      <c r="E247" s="102"/>
      <c r="F247" s="102"/>
      <c r="G247" s="103"/>
      <c r="I247" s="101"/>
      <c r="J247" s="102"/>
      <c r="K247" s="102"/>
      <c r="L247" s="102"/>
      <c r="M247" s="102"/>
      <c r="N247" s="102"/>
      <c r="O247" s="103"/>
    </row>
    <row r="248" spans="1:15" ht="13.5" customHeight="1" thickBot="1" x14ac:dyDescent="0.3">
      <c r="A248" s="99"/>
      <c r="B248" s="99"/>
      <c r="C248" s="99"/>
      <c r="D248" s="99"/>
      <c r="E248" s="99"/>
      <c r="F248" s="99"/>
      <c r="G248" s="99"/>
      <c r="I248" s="99"/>
      <c r="J248" s="99"/>
      <c r="K248" s="99"/>
      <c r="L248" s="99"/>
      <c r="M248" s="99"/>
      <c r="N248" s="99"/>
      <c r="O248" s="99"/>
    </row>
    <row r="249" spans="1:15" ht="16.5" thickBot="1" x14ac:dyDescent="0.3">
      <c r="A249" s="86"/>
      <c r="B249" s="87"/>
      <c r="C249" s="87"/>
      <c r="D249" s="87"/>
      <c r="E249" s="87"/>
      <c r="F249" s="87"/>
      <c r="G249" s="88"/>
      <c r="I249" s="86"/>
      <c r="J249" s="87"/>
      <c r="K249" s="87"/>
      <c r="L249" s="87"/>
      <c r="M249" s="87"/>
      <c r="N249" s="87"/>
      <c r="O249" s="88"/>
    </row>
    <row r="250" spans="1:15" ht="20.100000000000001" customHeight="1" thickBot="1" x14ac:dyDescent="0.3">
      <c r="A250" s="90"/>
      <c r="B250" s="503" t="str">
        <f>B238</f>
        <v>KWALIFICATIE</v>
      </c>
      <c r="C250" s="504"/>
      <c r="D250" s="505"/>
      <c r="E250" s="106"/>
      <c r="F250" s="136" t="s">
        <v>26</v>
      </c>
      <c r="G250" s="91"/>
      <c r="I250" s="90"/>
      <c r="J250" s="503" t="str">
        <f>B238</f>
        <v>KWALIFICATIE</v>
      </c>
      <c r="K250" s="504"/>
      <c r="L250" s="505"/>
      <c r="M250" s="106"/>
      <c r="N250" s="136" t="s">
        <v>26</v>
      </c>
      <c r="O250" s="91"/>
    </row>
    <row r="251" spans="1:15" ht="9.75" customHeight="1" thickBot="1" x14ac:dyDescent="0.3">
      <c r="A251" s="90"/>
      <c r="B251" s="92"/>
      <c r="C251" s="92"/>
      <c r="D251" s="92"/>
      <c r="E251" s="92"/>
      <c r="F251" s="93"/>
      <c r="G251" s="91"/>
      <c r="I251" s="90"/>
      <c r="J251" s="92"/>
      <c r="K251" s="92"/>
      <c r="L251" s="92"/>
      <c r="M251" s="92"/>
      <c r="N251" s="93"/>
      <c r="O251" s="91"/>
    </row>
    <row r="252" spans="1:15" ht="20.100000000000001" customHeight="1" thickBot="1" x14ac:dyDescent="0.3">
      <c r="A252" s="94"/>
      <c r="B252" s="499" t="str">
        <f>START!B9</f>
        <v>12:15 - 12:30 uur</v>
      </c>
      <c r="C252" s="496"/>
      <c r="D252" s="496"/>
      <c r="E252" s="497"/>
      <c r="F252" s="104" t="s">
        <v>249</v>
      </c>
      <c r="G252" s="95"/>
      <c r="H252" s="96"/>
      <c r="I252" s="94"/>
      <c r="J252" s="499" t="str">
        <f>B252</f>
        <v>12:15 - 12:30 uur</v>
      </c>
      <c r="K252" s="496"/>
      <c r="L252" s="496"/>
      <c r="M252" s="497"/>
      <c r="N252" s="104" t="s">
        <v>250</v>
      </c>
      <c r="O252" s="95"/>
    </row>
    <row r="253" spans="1:15" ht="13.5" customHeight="1" thickBot="1" x14ac:dyDescent="0.3">
      <c r="A253" s="90"/>
      <c r="B253" s="97"/>
      <c r="C253" s="92"/>
      <c r="D253" s="92"/>
      <c r="E253" s="92"/>
      <c r="F253" s="98"/>
      <c r="G253" s="91"/>
      <c r="I253" s="90"/>
      <c r="J253" s="97"/>
      <c r="K253" s="92"/>
      <c r="L253" s="92"/>
      <c r="M253" s="92"/>
      <c r="N253" s="98"/>
      <c r="O253" s="91"/>
    </row>
    <row r="254" spans="1:15" s="117" customFormat="1" ht="30" customHeight="1" thickBot="1" x14ac:dyDescent="0.35">
      <c r="A254" s="113"/>
      <c r="B254" s="500" t="str">
        <f>KWALIFICATIE!T44</f>
        <v>Swift Dames</v>
      </c>
      <c r="C254" s="501"/>
      <c r="D254" s="502"/>
      <c r="E254" s="114"/>
      <c r="F254" s="115"/>
      <c r="G254" s="116"/>
      <c r="I254" s="113"/>
      <c r="J254" s="500" t="str">
        <f>KWALIFICATIE!T45</f>
        <v>AntiLope</v>
      </c>
      <c r="K254" s="501"/>
      <c r="L254" s="502"/>
      <c r="M254" s="114"/>
      <c r="N254" s="115"/>
      <c r="O254" s="116"/>
    </row>
    <row r="255" spans="1:15" ht="16.5" thickBot="1" x14ac:dyDescent="0.3">
      <c r="A255" s="90"/>
      <c r="B255" s="99"/>
      <c r="C255" s="99"/>
      <c r="D255" s="99"/>
      <c r="E255" s="99"/>
      <c r="F255" s="99"/>
      <c r="G255" s="91"/>
      <c r="I255" s="90"/>
      <c r="J255" s="99"/>
      <c r="K255" s="99"/>
      <c r="L255" s="99"/>
      <c r="M255" s="99"/>
      <c r="N255" s="99"/>
      <c r="O255" s="91"/>
    </row>
    <row r="256" spans="1:15" s="117" customFormat="1" ht="30" customHeight="1" thickBot="1" x14ac:dyDescent="0.35">
      <c r="A256" s="113"/>
      <c r="B256" s="500" t="str">
        <f>KWALIFICATIE!Y44</f>
        <v>De Ronaldozen</v>
      </c>
      <c r="C256" s="501"/>
      <c r="D256" s="502"/>
      <c r="E256" s="114"/>
      <c r="F256" s="115"/>
      <c r="G256" s="116"/>
      <c r="I256" s="113"/>
      <c r="J256" s="500" t="str">
        <f>KWALIFICATIE!Y45</f>
        <v>Mysterieuze Missers</v>
      </c>
      <c r="K256" s="501"/>
      <c r="L256" s="502"/>
      <c r="M256" s="114"/>
      <c r="N256" s="115"/>
      <c r="O256" s="116"/>
    </row>
    <row r="257" spans="1:15" ht="12" customHeight="1" x14ac:dyDescent="0.25">
      <c r="A257" s="90"/>
      <c r="B257" s="99"/>
      <c r="C257" s="99"/>
      <c r="D257" s="99"/>
      <c r="E257" s="99"/>
      <c r="F257" s="99"/>
      <c r="G257" s="91"/>
      <c r="I257" s="90"/>
      <c r="J257" s="99"/>
      <c r="K257" s="99"/>
      <c r="L257" s="99"/>
      <c r="M257" s="99"/>
      <c r="N257" s="99"/>
      <c r="O257" s="91"/>
    </row>
    <row r="258" spans="1:15" ht="13.5" customHeight="1" x14ac:dyDescent="0.25">
      <c r="A258" s="90"/>
      <c r="B258" s="498" t="str">
        <f>B246</f>
        <v>SCOREKAART - HVC2016</v>
      </c>
      <c r="C258" s="498"/>
      <c r="D258" s="498"/>
      <c r="E258" s="498"/>
      <c r="F258" s="498"/>
      <c r="G258" s="91"/>
      <c r="I258" s="90"/>
      <c r="J258" s="498" t="str">
        <f>B246</f>
        <v>SCOREKAART - HVC2016</v>
      </c>
      <c r="K258" s="498"/>
      <c r="L258" s="498"/>
      <c r="M258" s="498"/>
      <c r="N258" s="498"/>
      <c r="O258" s="91"/>
    </row>
    <row r="259" spans="1:15" ht="11.25" customHeight="1" thickBot="1" x14ac:dyDescent="0.3">
      <c r="A259" s="101"/>
      <c r="B259" s="102"/>
      <c r="C259" s="102"/>
      <c r="D259" s="102"/>
      <c r="E259" s="102"/>
      <c r="F259" s="102"/>
      <c r="G259" s="103"/>
      <c r="I259" s="101"/>
      <c r="J259" s="102"/>
      <c r="K259" s="102"/>
      <c r="L259" s="102"/>
      <c r="M259" s="102"/>
      <c r="N259" s="102"/>
      <c r="O259" s="103"/>
    </row>
    <row r="260" spans="1:15" ht="14.1" customHeight="1" thickBot="1" x14ac:dyDescent="0.3">
      <c r="A260" s="107"/>
      <c r="B260" s="99"/>
      <c r="C260" s="99"/>
      <c r="D260" s="99"/>
      <c r="E260" s="99"/>
      <c r="F260" s="99"/>
      <c r="G260" s="99"/>
      <c r="H260" s="99"/>
      <c r="I260" s="99"/>
      <c r="J260" s="99"/>
      <c r="K260" s="99"/>
      <c r="L260" s="99"/>
      <c r="M260" s="99"/>
      <c r="N260" s="99"/>
      <c r="O260" s="107"/>
    </row>
    <row r="261" spans="1:15" ht="16.5" customHeight="1" thickBot="1" x14ac:dyDescent="0.3">
      <c r="A261" s="86"/>
      <c r="B261" s="87"/>
      <c r="C261" s="87"/>
      <c r="D261" s="87"/>
      <c r="E261" s="87"/>
      <c r="F261" s="87"/>
      <c r="G261" s="88"/>
      <c r="I261" s="86"/>
      <c r="J261" s="87"/>
      <c r="K261" s="87"/>
      <c r="L261" s="87"/>
      <c r="M261" s="87"/>
      <c r="N261" s="87"/>
      <c r="O261" s="88"/>
    </row>
    <row r="262" spans="1:15" ht="20.100000000000001" customHeight="1" thickBot="1" x14ac:dyDescent="0.3">
      <c r="A262" s="90"/>
      <c r="B262" s="503" t="str">
        <f>B238</f>
        <v>KWALIFICATIE</v>
      </c>
      <c r="C262" s="504"/>
      <c r="D262" s="505"/>
      <c r="E262" s="106"/>
      <c r="F262" s="136" t="s">
        <v>26</v>
      </c>
      <c r="G262" s="91"/>
      <c r="I262" s="90"/>
      <c r="J262" s="503" t="str">
        <f>B238</f>
        <v>KWALIFICATIE</v>
      </c>
      <c r="K262" s="504"/>
      <c r="L262" s="505"/>
      <c r="M262" s="106"/>
      <c r="N262" s="136" t="s">
        <v>26</v>
      </c>
      <c r="O262" s="91"/>
    </row>
    <row r="263" spans="1:15" ht="13.5" customHeight="1" thickBot="1" x14ac:dyDescent="0.3">
      <c r="A263" s="90"/>
      <c r="B263" s="92"/>
      <c r="C263" s="92"/>
      <c r="D263" s="92"/>
      <c r="E263" s="92"/>
      <c r="F263" s="93"/>
      <c r="G263" s="91"/>
      <c r="I263" s="90"/>
      <c r="J263" s="92"/>
      <c r="K263" s="92"/>
      <c r="L263" s="92"/>
      <c r="M263" s="92"/>
      <c r="N263" s="93"/>
      <c r="O263" s="91"/>
    </row>
    <row r="264" spans="1:15" ht="20.100000000000001" customHeight="1" thickBot="1" x14ac:dyDescent="0.3">
      <c r="A264" s="94"/>
      <c r="B264" s="499" t="str">
        <f>B252</f>
        <v>12:15 - 12:30 uur</v>
      </c>
      <c r="C264" s="496"/>
      <c r="D264" s="496"/>
      <c r="E264" s="497"/>
      <c r="F264" s="104" t="s">
        <v>251</v>
      </c>
      <c r="G264" s="95"/>
      <c r="H264" s="96"/>
      <c r="I264" s="94"/>
      <c r="J264" s="499" t="str">
        <f>B252</f>
        <v>12:15 - 12:30 uur</v>
      </c>
      <c r="K264" s="496"/>
      <c r="L264" s="496"/>
      <c r="M264" s="497"/>
      <c r="N264" s="104" t="s">
        <v>252</v>
      </c>
      <c r="O264" s="95"/>
    </row>
    <row r="265" spans="1:15" ht="13.5" customHeight="1" thickBot="1" x14ac:dyDescent="0.3">
      <c r="A265" s="90"/>
      <c r="B265" s="97"/>
      <c r="C265" s="92"/>
      <c r="D265" s="92"/>
      <c r="E265" s="92"/>
      <c r="F265" s="98"/>
      <c r="G265" s="91"/>
      <c r="I265" s="90"/>
      <c r="J265" s="97"/>
      <c r="K265" s="92"/>
      <c r="L265" s="92"/>
      <c r="M265" s="92"/>
      <c r="N265" s="98"/>
      <c r="O265" s="91"/>
    </row>
    <row r="266" spans="1:15" s="117" customFormat="1" ht="30" customHeight="1" thickBot="1" x14ac:dyDescent="0.35">
      <c r="A266" s="113"/>
      <c r="B266" s="500" t="str">
        <f>KWALIFICATIE!T46</f>
        <v>De Doofpot</v>
      </c>
      <c r="C266" s="501"/>
      <c r="D266" s="502"/>
      <c r="E266" s="114"/>
      <c r="F266" s="115"/>
      <c r="G266" s="116"/>
      <c r="I266" s="113"/>
      <c r="J266" s="500" t="str">
        <f>KWALIFICATIE!T47</f>
        <v>Fons Vitaeplein</v>
      </c>
      <c r="K266" s="501"/>
      <c r="L266" s="502"/>
      <c r="M266" s="114"/>
      <c r="N266" s="115"/>
      <c r="O266" s="116"/>
    </row>
    <row r="267" spans="1:15" ht="16.5" thickBot="1" x14ac:dyDescent="0.3">
      <c r="A267" s="90"/>
      <c r="B267" s="99"/>
      <c r="C267" s="99"/>
      <c r="D267" s="99"/>
      <c r="E267" s="99"/>
      <c r="F267" s="99"/>
      <c r="G267" s="91"/>
      <c r="I267" s="90"/>
      <c r="J267" s="99"/>
      <c r="K267" s="99"/>
      <c r="L267" s="99"/>
      <c r="M267" s="99"/>
      <c r="N267" s="99"/>
      <c r="O267" s="91"/>
    </row>
    <row r="268" spans="1:15" s="117" customFormat="1" ht="30" customHeight="1" thickBot="1" x14ac:dyDescent="0.35">
      <c r="A268" s="113"/>
      <c r="B268" s="500" t="str">
        <f>KWALIFICATIE!Y46</f>
        <v>Swift Zondag 11</v>
      </c>
      <c r="C268" s="501"/>
      <c r="D268" s="502"/>
      <c r="E268" s="114"/>
      <c r="F268" s="115"/>
      <c r="G268" s="116"/>
      <c r="I268" s="113"/>
      <c r="J268" s="500" t="str">
        <f>KWALIFICATIE!Y47</f>
        <v>Vrienden van Van Essen</v>
      </c>
      <c r="K268" s="501"/>
      <c r="L268" s="502"/>
      <c r="M268" s="114"/>
      <c r="N268" s="115"/>
      <c r="O268" s="116"/>
    </row>
    <row r="269" spans="1:15" ht="12" customHeight="1" x14ac:dyDescent="0.25">
      <c r="A269" s="90"/>
      <c r="B269" s="99"/>
      <c r="C269" s="99"/>
      <c r="D269" s="99"/>
      <c r="E269" s="99"/>
      <c r="F269" s="99"/>
      <c r="G269" s="91"/>
      <c r="I269" s="90"/>
      <c r="J269" s="99"/>
      <c r="K269" s="99"/>
      <c r="L269" s="99"/>
      <c r="M269" s="99"/>
      <c r="N269" s="99"/>
      <c r="O269" s="91"/>
    </row>
    <row r="270" spans="1:15" ht="13.5" customHeight="1" x14ac:dyDescent="0.25">
      <c r="A270" s="90"/>
      <c r="B270" s="498" t="str">
        <f>B246</f>
        <v>SCOREKAART - HVC2016</v>
      </c>
      <c r="C270" s="498"/>
      <c r="D270" s="498"/>
      <c r="E270" s="498"/>
      <c r="F270" s="498"/>
      <c r="G270" s="91"/>
      <c r="I270" s="90"/>
      <c r="J270" s="498" t="str">
        <f>B246</f>
        <v>SCOREKAART - HVC2016</v>
      </c>
      <c r="K270" s="498"/>
      <c r="L270" s="498"/>
      <c r="M270" s="498"/>
      <c r="N270" s="498"/>
      <c r="O270" s="91"/>
    </row>
    <row r="271" spans="1:15" ht="12" customHeight="1" thickBot="1" x14ac:dyDescent="0.3">
      <c r="A271" s="101"/>
      <c r="B271" s="102"/>
      <c r="C271" s="102"/>
      <c r="D271" s="102"/>
      <c r="E271" s="102"/>
      <c r="F271" s="102"/>
      <c r="G271" s="103"/>
      <c r="I271" s="101"/>
      <c r="J271" s="102"/>
      <c r="K271" s="102"/>
      <c r="L271" s="102"/>
      <c r="M271" s="102"/>
      <c r="N271" s="102"/>
      <c r="O271" s="103"/>
    </row>
    <row r="272" spans="1:15" ht="14.1" customHeight="1" thickBot="1" x14ac:dyDescent="0.3">
      <c r="A272" s="107"/>
      <c r="B272" s="99"/>
      <c r="C272" s="99"/>
      <c r="D272" s="99"/>
      <c r="E272" s="99"/>
      <c r="F272" s="99"/>
      <c r="G272" s="99"/>
      <c r="H272" s="99"/>
      <c r="I272" s="99"/>
      <c r="J272" s="99"/>
      <c r="K272" s="99"/>
      <c r="L272" s="99"/>
      <c r="M272" s="99"/>
      <c r="N272" s="99"/>
      <c r="O272" s="107"/>
    </row>
    <row r="273" spans="1:15" ht="16.5" thickBot="1" x14ac:dyDescent="0.3">
      <c r="A273" s="86"/>
      <c r="B273" s="87"/>
      <c r="C273" s="87"/>
      <c r="D273" s="87"/>
      <c r="E273" s="87"/>
      <c r="F273" s="87"/>
      <c r="G273" s="88"/>
      <c r="I273" s="86"/>
      <c r="J273" s="87"/>
      <c r="K273" s="87"/>
      <c r="L273" s="87"/>
      <c r="M273" s="87"/>
      <c r="N273" s="87"/>
      <c r="O273" s="88"/>
    </row>
    <row r="274" spans="1:15" ht="20.100000000000001" customHeight="1" thickBot="1" x14ac:dyDescent="0.3">
      <c r="A274" s="90"/>
      <c r="B274" s="503" t="str">
        <f>B238</f>
        <v>KWALIFICATIE</v>
      </c>
      <c r="C274" s="504"/>
      <c r="D274" s="505"/>
      <c r="E274" s="106"/>
      <c r="F274" s="136" t="s">
        <v>26</v>
      </c>
      <c r="G274" s="91"/>
      <c r="I274" s="90"/>
      <c r="J274" s="503" t="str">
        <f>B238</f>
        <v>KWALIFICATIE</v>
      </c>
      <c r="K274" s="504"/>
      <c r="L274" s="505"/>
      <c r="M274" s="106"/>
      <c r="N274" s="136" t="s">
        <v>26</v>
      </c>
      <c r="O274" s="91"/>
    </row>
    <row r="275" spans="1:15" ht="13.5" customHeight="1" thickBot="1" x14ac:dyDescent="0.3">
      <c r="A275" s="90"/>
      <c r="B275" s="92"/>
      <c r="C275" s="92"/>
      <c r="D275" s="92"/>
      <c r="E275" s="92"/>
      <c r="F275" s="93"/>
      <c r="G275" s="91"/>
      <c r="I275" s="90"/>
      <c r="J275" s="92"/>
      <c r="K275" s="92"/>
      <c r="L275" s="92"/>
      <c r="M275" s="92"/>
      <c r="N275" s="93"/>
      <c r="O275" s="91"/>
    </row>
    <row r="276" spans="1:15" ht="20.100000000000001" customHeight="1" thickBot="1" x14ac:dyDescent="0.3">
      <c r="A276" s="94"/>
      <c r="B276" s="499" t="str">
        <f>B252</f>
        <v>12:15 - 12:30 uur</v>
      </c>
      <c r="C276" s="496"/>
      <c r="D276" s="496"/>
      <c r="E276" s="497"/>
      <c r="F276" s="104" t="s">
        <v>253</v>
      </c>
      <c r="G276" s="95"/>
      <c r="H276" s="96"/>
      <c r="I276" s="94"/>
      <c r="J276" s="499" t="str">
        <f>B252</f>
        <v>12:15 - 12:30 uur</v>
      </c>
      <c r="K276" s="496"/>
      <c r="L276" s="496"/>
      <c r="M276" s="497"/>
      <c r="N276" s="104" t="s">
        <v>254</v>
      </c>
      <c r="O276" s="95"/>
    </row>
    <row r="277" spans="1:15" ht="13.5" customHeight="1" thickBot="1" x14ac:dyDescent="0.3">
      <c r="A277" s="90"/>
      <c r="B277" s="97"/>
      <c r="C277" s="92"/>
      <c r="D277" s="92"/>
      <c r="E277" s="92"/>
      <c r="F277" s="98"/>
      <c r="G277" s="91"/>
      <c r="I277" s="90"/>
      <c r="J277" s="97"/>
      <c r="K277" s="92"/>
      <c r="L277" s="92"/>
      <c r="M277" s="92"/>
      <c r="N277" s="98"/>
      <c r="O277" s="91"/>
    </row>
    <row r="278" spans="1:15" s="117" customFormat="1" ht="30" customHeight="1" thickBot="1" x14ac:dyDescent="0.35">
      <c r="A278" s="113"/>
      <c r="B278" s="437" t="str">
        <f>KWALIFICATIE!T48</f>
        <v>De Kabel</v>
      </c>
      <c r="C278" s="438"/>
      <c r="D278" s="439"/>
      <c r="E278" s="114"/>
      <c r="F278" s="115"/>
      <c r="G278" s="116"/>
      <c r="I278" s="113"/>
      <c r="J278" s="437" t="str">
        <f>KWALIFICATIE!T49</f>
        <v>Om des Keijzers baerdt</v>
      </c>
      <c r="K278" s="438"/>
      <c r="L278" s="439"/>
      <c r="M278" s="114"/>
      <c r="N278" s="115"/>
      <c r="O278" s="116"/>
    </row>
    <row r="279" spans="1:15" ht="16.5" thickBot="1" x14ac:dyDescent="0.3">
      <c r="A279" s="90"/>
      <c r="B279" s="99"/>
      <c r="C279" s="99"/>
      <c r="D279" s="99"/>
      <c r="E279" s="99"/>
      <c r="F279" s="99"/>
      <c r="G279" s="91"/>
      <c r="I279" s="90"/>
      <c r="J279" s="99"/>
      <c r="K279" s="99"/>
      <c r="L279" s="99"/>
      <c r="M279" s="99"/>
      <c r="N279" s="99"/>
      <c r="O279" s="91"/>
    </row>
    <row r="280" spans="1:15" s="117" customFormat="1" ht="30" customHeight="1" thickBot="1" x14ac:dyDescent="0.35">
      <c r="A280" s="113"/>
      <c r="B280" s="437" t="str">
        <f>KWALIFICATIE!Y48</f>
        <v>Jenever op de Schinkel</v>
      </c>
      <c r="C280" s="438"/>
      <c r="D280" s="439"/>
      <c r="E280" s="114"/>
      <c r="F280" s="115"/>
      <c r="G280" s="116"/>
      <c r="I280" s="113"/>
      <c r="J280" s="437" t="str">
        <f>KWALIFICATIE!Y49</f>
        <v>Amsterdam Finest ss16</v>
      </c>
      <c r="K280" s="438"/>
      <c r="L280" s="439"/>
      <c r="M280" s="114"/>
      <c r="N280" s="115"/>
      <c r="O280" s="116"/>
    </row>
    <row r="281" spans="1:15" ht="12" customHeight="1" x14ac:dyDescent="0.25">
      <c r="A281" s="90"/>
      <c r="B281" s="99"/>
      <c r="C281" s="99"/>
      <c r="D281" s="99"/>
      <c r="E281" s="99"/>
      <c r="F281" s="99"/>
      <c r="G281" s="91"/>
      <c r="I281" s="90"/>
      <c r="J281" s="99"/>
      <c r="K281" s="99"/>
      <c r="L281" s="99"/>
      <c r="M281" s="99"/>
      <c r="N281" s="99"/>
      <c r="O281" s="91"/>
    </row>
    <row r="282" spans="1:15" ht="13.5" customHeight="1" x14ac:dyDescent="0.25">
      <c r="A282" s="90"/>
      <c r="B282" s="498" t="str">
        <f>B246</f>
        <v>SCOREKAART - HVC2016</v>
      </c>
      <c r="C282" s="498"/>
      <c r="D282" s="498"/>
      <c r="E282" s="498"/>
      <c r="F282" s="498"/>
      <c r="G282" s="91"/>
      <c r="I282" s="90"/>
      <c r="J282" s="498" t="str">
        <f>B246</f>
        <v>SCOREKAART - HVC2016</v>
      </c>
      <c r="K282" s="498"/>
      <c r="L282" s="498"/>
      <c r="M282" s="498"/>
      <c r="N282" s="498"/>
      <c r="O282" s="91"/>
    </row>
    <row r="283" spans="1:15" ht="12" customHeight="1" thickBot="1" x14ac:dyDescent="0.3">
      <c r="A283" s="101"/>
      <c r="B283" s="102"/>
      <c r="C283" s="102"/>
      <c r="D283" s="102"/>
      <c r="E283" s="102"/>
      <c r="F283" s="102"/>
      <c r="G283" s="103"/>
      <c r="I283" s="101"/>
      <c r="J283" s="102"/>
      <c r="K283" s="102"/>
      <c r="L283" s="102"/>
      <c r="M283" s="102"/>
      <c r="N283" s="102"/>
      <c r="O283" s="103"/>
    </row>
    <row r="284" spans="1:15" ht="16.5" thickBot="1" x14ac:dyDescent="0.3">
      <c r="A284" s="86"/>
      <c r="B284" s="87"/>
      <c r="C284" s="87"/>
      <c r="D284" s="87"/>
      <c r="E284" s="87"/>
      <c r="F284" s="87"/>
      <c r="G284" s="88"/>
      <c r="I284" s="86"/>
      <c r="J284" s="87"/>
      <c r="K284" s="87"/>
      <c r="L284" s="87"/>
      <c r="M284" s="87"/>
      <c r="N284" s="87"/>
      <c r="O284" s="88"/>
    </row>
    <row r="285" spans="1:15" ht="20.25" customHeight="1" thickBot="1" x14ac:dyDescent="0.3">
      <c r="A285" s="90"/>
      <c r="B285" s="506" t="str">
        <f>START!D8</f>
        <v>KWALIFICATIE</v>
      </c>
      <c r="C285" s="504"/>
      <c r="D285" s="505"/>
      <c r="E285" s="106"/>
      <c r="F285" s="105" t="s">
        <v>28</v>
      </c>
      <c r="G285" s="91"/>
      <c r="I285" s="90"/>
      <c r="J285" s="503" t="str">
        <f>B285</f>
        <v>KWALIFICATIE</v>
      </c>
      <c r="K285" s="504"/>
      <c r="L285" s="505"/>
      <c r="M285" s="106"/>
      <c r="N285" s="105" t="s">
        <v>28</v>
      </c>
      <c r="O285" s="91"/>
    </row>
    <row r="286" spans="1:15" ht="9.75" customHeight="1" thickBot="1" x14ac:dyDescent="0.3">
      <c r="A286" s="90"/>
      <c r="B286" s="92"/>
      <c r="C286" s="92"/>
      <c r="D286" s="92"/>
      <c r="E286" s="92"/>
      <c r="F286" s="93"/>
      <c r="G286" s="91"/>
      <c r="I286" s="90"/>
      <c r="J286" s="92"/>
      <c r="K286" s="92"/>
      <c r="L286" s="92"/>
      <c r="M286" s="92"/>
      <c r="N286" s="93"/>
      <c r="O286" s="91"/>
    </row>
    <row r="287" spans="1:15" s="96" customFormat="1" ht="19.5" customHeight="1" thickBot="1" x14ac:dyDescent="0.3">
      <c r="A287" s="94"/>
      <c r="B287" s="499" t="str">
        <f>START!B10</f>
        <v>12:30 - 12:45 uur</v>
      </c>
      <c r="C287" s="496"/>
      <c r="D287" s="496"/>
      <c r="E287" s="497"/>
      <c r="F287" s="104" t="s">
        <v>249</v>
      </c>
      <c r="G287" s="95"/>
      <c r="I287" s="94"/>
      <c r="J287" s="495" t="str">
        <f>B287</f>
        <v>12:30 - 12:45 uur</v>
      </c>
      <c r="K287" s="496"/>
      <c r="L287" s="496"/>
      <c r="M287" s="497"/>
      <c r="N287" s="104" t="s">
        <v>250</v>
      </c>
      <c r="O287" s="95"/>
    </row>
    <row r="288" spans="1:15" ht="14.25" customHeight="1" thickBot="1" x14ac:dyDescent="0.3">
      <c r="A288" s="90"/>
      <c r="B288" s="97"/>
      <c r="C288" s="92"/>
      <c r="D288" s="92"/>
      <c r="E288" s="92"/>
      <c r="F288" s="98"/>
      <c r="G288" s="91"/>
      <c r="I288" s="90"/>
      <c r="J288" s="97"/>
      <c r="K288" s="92"/>
      <c r="L288" s="92"/>
      <c r="M288" s="92"/>
      <c r="N288" s="98"/>
      <c r="O288" s="91"/>
    </row>
    <row r="289" spans="1:15" s="117" customFormat="1" ht="30" customHeight="1" thickBot="1" x14ac:dyDescent="0.35">
      <c r="A289" s="113"/>
      <c r="B289" s="437" t="str">
        <f>KWALIFICATIE!T52</f>
        <v>Borrelnood</v>
      </c>
      <c r="C289" s="438"/>
      <c r="D289" s="439"/>
      <c r="E289" s="114"/>
      <c r="F289" s="115"/>
      <c r="G289" s="116"/>
      <c r="I289" s="113"/>
      <c r="J289" s="437" t="str">
        <f>KWALIFICATIE!T53</f>
        <v>De Vedettjes</v>
      </c>
      <c r="K289" s="438"/>
      <c r="L289" s="439"/>
      <c r="M289" s="114"/>
      <c r="N289" s="115"/>
      <c r="O289" s="116"/>
    </row>
    <row r="290" spans="1:15" ht="16.5" thickBot="1" x14ac:dyDescent="0.3">
      <c r="A290" s="90"/>
      <c r="B290" s="99"/>
      <c r="C290" s="99"/>
      <c r="D290" s="99"/>
      <c r="E290" s="99"/>
      <c r="F290" s="99"/>
      <c r="G290" s="91"/>
      <c r="I290" s="90"/>
      <c r="J290" s="99"/>
      <c r="K290" s="99"/>
      <c r="L290" s="99"/>
      <c r="M290" s="99"/>
      <c r="N290" s="99"/>
      <c r="O290" s="91"/>
    </row>
    <row r="291" spans="1:15" s="117" customFormat="1" ht="30" customHeight="1" thickBot="1" x14ac:dyDescent="0.35">
      <c r="A291" s="113"/>
      <c r="B291" s="437" t="str">
        <f>KWALIFICATIE!Y52</f>
        <v>De Chouffjes</v>
      </c>
      <c r="C291" s="438"/>
      <c r="D291" s="439"/>
      <c r="E291" s="114"/>
      <c r="F291" s="115"/>
      <c r="G291" s="116"/>
      <c r="I291" s="113"/>
      <c r="J291" s="437" t="str">
        <f>KWALIFICATIE!Y53</f>
        <v>RAP 2</v>
      </c>
      <c r="K291" s="438"/>
      <c r="L291" s="439"/>
      <c r="M291" s="114"/>
      <c r="N291" s="115"/>
      <c r="O291" s="116"/>
    </row>
    <row r="292" spans="1:15" ht="12" customHeight="1" x14ac:dyDescent="0.25">
      <c r="A292" s="90"/>
      <c r="B292" s="99"/>
      <c r="C292" s="99"/>
      <c r="D292" s="99"/>
      <c r="E292" s="99"/>
      <c r="F292" s="99"/>
      <c r="G292" s="91"/>
      <c r="I292" s="90"/>
      <c r="J292" s="99"/>
      <c r="K292" s="99"/>
      <c r="L292" s="99"/>
      <c r="M292" s="99"/>
      <c r="N292" s="99"/>
      <c r="O292" s="91"/>
    </row>
    <row r="293" spans="1:15" ht="13.5" customHeight="1" x14ac:dyDescent="0.25">
      <c r="A293" s="90"/>
      <c r="B293" s="498" t="str">
        <f>B282</f>
        <v>SCOREKAART - HVC2016</v>
      </c>
      <c r="C293" s="498"/>
      <c r="D293" s="498"/>
      <c r="E293" s="498"/>
      <c r="F293" s="498"/>
      <c r="G293" s="91"/>
      <c r="I293" s="90"/>
      <c r="J293" s="498" t="str">
        <f>B293</f>
        <v>SCOREKAART - HVC2016</v>
      </c>
      <c r="K293" s="498"/>
      <c r="L293" s="498"/>
      <c r="M293" s="498"/>
      <c r="N293" s="498"/>
      <c r="O293" s="91"/>
    </row>
    <row r="294" spans="1:15" ht="11.25" customHeight="1" thickBot="1" x14ac:dyDescent="0.3">
      <c r="A294" s="101"/>
      <c r="B294" s="102"/>
      <c r="C294" s="102"/>
      <c r="D294" s="102"/>
      <c r="E294" s="102"/>
      <c r="F294" s="102"/>
      <c r="G294" s="103"/>
      <c r="I294" s="101"/>
      <c r="J294" s="102"/>
      <c r="K294" s="102"/>
      <c r="L294" s="102"/>
      <c r="M294" s="102"/>
      <c r="N294" s="102"/>
      <c r="O294" s="103"/>
    </row>
    <row r="295" spans="1:15" ht="13.5" customHeight="1" thickBot="1" x14ac:dyDescent="0.3">
      <c r="A295" s="99"/>
      <c r="B295" s="99"/>
      <c r="C295" s="99"/>
      <c r="D295" s="99"/>
      <c r="E295" s="99"/>
      <c r="F295" s="99"/>
      <c r="G295" s="99"/>
      <c r="I295" s="99"/>
      <c r="J295" s="99"/>
      <c r="K295" s="99"/>
      <c r="L295" s="99"/>
      <c r="M295" s="99"/>
      <c r="N295" s="99"/>
      <c r="O295" s="99"/>
    </row>
    <row r="296" spans="1:15" ht="16.5" thickBot="1" x14ac:dyDescent="0.3">
      <c r="A296" s="86"/>
      <c r="B296" s="87"/>
      <c r="C296" s="87"/>
      <c r="D296" s="87"/>
      <c r="E296" s="87"/>
      <c r="F296" s="87"/>
      <c r="G296" s="88"/>
      <c r="I296" s="86"/>
      <c r="J296" s="87"/>
      <c r="K296" s="87"/>
      <c r="L296" s="87"/>
      <c r="M296" s="87"/>
      <c r="N296" s="87"/>
      <c r="O296" s="88"/>
    </row>
    <row r="297" spans="1:15" ht="20.100000000000001" customHeight="1" thickBot="1" x14ac:dyDescent="0.3">
      <c r="A297" s="90"/>
      <c r="B297" s="503" t="str">
        <f>B285</f>
        <v>KWALIFICATIE</v>
      </c>
      <c r="C297" s="504"/>
      <c r="D297" s="505"/>
      <c r="E297" s="106"/>
      <c r="F297" s="105" t="s">
        <v>28</v>
      </c>
      <c r="G297" s="91"/>
      <c r="I297" s="90"/>
      <c r="J297" s="503" t="str">
        <f>B285</f>
        <v>KWALIFICATIE</v>
      </c>
      <c r="K297" s="504"/>
      <c r="L297" s="505"/>
      <c r="M297" s="106"/>
      <c r="N297" s="105" t="s">
        <v>28</v>
      </c>
      <c r="O297" s="91"/>
    </row>
    <row r="298" spans="1:15" ht="9.75" customHeight="1" thickBot="1" x14ac:dyDescent="0.3">
      <c r="A298" s="90"/>
      <c r="B298" s="92"/>
      <c r="C298" s="92"/>
      <c r="D298" s="92"/>
      <c r="E298" s="92"/>
      <c r="F298" s="93"/>
      <c r="G298" s="91"/>
      <c r="I298" s="90"/>
      <c r="J298" s="92"/>
      <c r="K298" s="92"/>
      <c r="L298" s="92"/>
      <c r="M298" s="92"/>
      <c r="N298" s="93"/>
      <c r="O298" s="91"/>
    </row>
    <row r="299" spans="1:15" ht="20.100000000000001" customHeight="1" thickBot="1" x14ac:dyDescent="0.3">
      <c r="A299" s="94"/>
      <c r="B299" s="495" t="str">
        <f>B287</f>
        <v>12:30 - 12:45 uur</v>
      </c>
      <c r="C299" s="496"/>
      <c r="D299" s="496"/>
      <c r="E299" s="497"/>
      <c r="F299" s="104" t="s">
        <v>251</v>
      </c>
      <c r="G299" s="95"/>
      <c r="H299" s="96"/>
      <c r="I299" s="94"/>
      <c r="J299" s="495" t="str">
        <f>B287</f>
        <v>12:30 - 12:45 uur</v>
      </c>
      <c r="K299" s="496"/>
      <c r="L299" s="496"/>
      <c r="M299" s="497"/>
      <c r="N299" s="104" t="s">
        <v>252</v>
      </c>
      <c r="O299" s="95"/>
    </row>
    <row r="300" spans="1:15" ht="13.5" customHeight="1" thickBot="1" x14ac:dyDescent="0.3">
      <c r="A300" s="90"/>
      <c r="B300" s="97"/>
      <c r="C300" s="92"/>
      <c r="D300" s="92"/>
      <c r="E300" s="92"/>
      <c r="F300" s="98"/>
      <c r="G300" s="91"/>
      <c r="I300" s="90"/>
      <c r="J300" s="97"/>
      <c r="K300" s="92"/>
      <c r="L300" s="92"/>
      <c r="M300" s="92"/>
      <c r="N300" s="98"/>
      <c r="O300" s="91"/>
    </row>
    <row r="301" spans="1:15" s="117" customFormat="1" ht="30" customHeight="1" thickBot="1" x14ac:dyDescent="0.35">
      <c r="A301" s="113"/>
      <c r="B301" s="500" t="str">
        <f>KWALIFICATIE!T54</f>
        <v>IAMB&amp;B</v>
      </c>
      <c r="C301" s="501"/>
      <c r="D301" s="502"/>
      <c r="E301" s="114"/>
      <c r="F301" s="115"/>
      <c r="G301" s="116"/>
      <c r="I301" s="113"/>
      <c r="J301" s="500" t="str">
        <f>KWALIFICATIE!T55</f>
        <v>FC Papa</v>
      </c>
      <c r="K301" s="501"/>
      <c r="L301" s="502"/>
      <c r="M301" s="114"/>
      <c r="N301" s="115"/>
      <c r="O301" s="116"/>
    </row>
    <row r="302" spans="1:15" ht="16.5" thickBot="1" x14ac:dyDescent="0.3">
      <c r="A302" s="90"/>
      <c r="B302" s="99"/>
      <c r="C302" s="99"/>
      <c r="D302" s="99"/>
      <c r="E302" s="99"/>
      <c r="F302" s="99"/>
      <c r="G302" s="91"/>
      <c r="I302" s="90"/>
      <c r="J302" s="99"/>
      <c r="K302" s="99"/>
      <c r="L302" s="99"/>
      <c r="M302" s="99"/>
      <c r="N302" s="99"/>
      <c r="O302" s="91"/>
    </row>
    <row r="303" spans="1:15" s="117" customFormat="1" ht="30" customHeight="1" thickBot="1" x14ac:dyDescent="0.35">
      <c r="A303" s="113"/>
      <c r="B303" s="500" t="str">
        <f>KWALIFICATIE!Y54</f>
        <v>FC EPERNAY</v>
      </c>
      <c r="C303" s="501"/>
      <c r="D303" s="502"/>
      <c r="E303" s="114"/>
      <c r="F303" s="115"/>
      <c r="G303" s="116"/>
      <c r="I303" s="113"/>
      <c r="J303" s="500" t="str">
        <f>KWALIFICATIE!Y55</f>
        <v>FC Vondelpark</v>
      </c>
      <c r="K303" s="501"/>
      <c r="L303" s="502"/>
      <c r="M303" s="114"/>
      <c r="N303" s="115"/>
      <c r="O303" s="116"/>
    </row>
    <row r="304" spans="1:15" ht="12" customHeight="1" x14ac:dyDescent="0.25">
      <c r="A304" s="90"/>
      <c r="B304" s="99"/>
      <c r="C304" s="99"/>
      <c r="D304" s="99"/>
      <c r="E304" s="99"/>
      <c r="F304" s="99"/>
      <c r="G304" s="91"/>
      <c r="I304" s="90"/>
      <c r="J304" s="99"/>
      <c r="K304" s="99"/>
      <c r="L304" s="99"/>
      <c r="M304" s="99"/>
      <c r="N304" s="99"/>
      <c r="O304" s="91"/>
    </row>
    <row r="305" spans="1:15" ht="13.5" customHeight="1" x14ac:dyDescent="0.25">
      <c r="A305" s="90"/>
      <c r="B305" s="498" t="str">
        <f>B293</f>
        <v>SCOREKAART - HVC2016</v>
      </c>
      <c r="C305" s="498"/>
      <c r="D305" s="498"/>
      <c r="E305" s="498"/>
      <c r="F305" s="498"/>
      <c r="G305" s="91"/>
      <c r="I305" s="90"/>
      <c r="J305" s="498" t="str">
        <f>B293</f>
        <v>SCOREKAART - HVC2016</v>
      </c>
      <c r="K305" s="498"/>
      <c r="L305" s="498"/>
      <c r="M305" s="498"/>
      <c r="N305" s="498"/>
      <c r="O305" s="91"/>
    </row>
    <row r="306" spans="1:15" ht="11.25" customHeight="1" thickBot="1" x14ac:dyDescent="0.3">
      <c r="A306" s="101"/>
      <c r="B306" s="102"/>
      <c r="C306" s="102"/>
      <c r="D306" s="102"/>
      <c r="E306" s="102"/>
      <c r="F306" s="102"/>
      <c r="G306" s="103"/>
      <c r="I306" s="101"/>
      <c r="J306" s="102"/>
      <c r="K306" s="102"/>
      <c r="L306" s="102"/>
      <c r="M306" s="102"/>
      <c r="N306" s="102"/>
      <c r="O306" s="103"/>
    </row>
    <row r="307" spans="1:15" ht="14.1" customHeight="1" thickBot="1" x14ac:dyDescent="0.3">
      <c r="A307" s="107"/>
      <c r="B307" s="99"/>
      <c r="C307" s="99"/>
      <c r="D307" s="99"/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107"/>
    </row>
    <row r="308" spans="1:15" ht="16.5" customHeight="1" thickBot="1" x14ac:dyDescent="0.3">
      <c r="A308" s="86"/>
      <c r="B308" s="87"/>
      <c r="C308" s="87"/>
      <c r="D308" s="87"/>
      <c r="E308" s="87"/>
      <c r="F308" s="87"/>
      <c r="G308" s="88"/>
      <c r="I308" s="86"/>
      <c r="J308" s="87"/>
      <c r="K308" s="87"/>
      <c r="L308" s="87"/>
      <c r="M308" s="87"/>
      <c r="N308" s="87"/>
      <c r="O308" s="88"/>
    </row>
    <row r="309" spans="1:15" ht="20.100000000000001" customHeight="1" thickBot="1" x14ac:dyDescent="0.3">
      <c r="A309" s="90"/>
      <c r="B309" s="503" t="str">
        <f>B285</f>
        <v>KWALIFICATIE</v>
      </c>
      <c r="C309" s="504"/>
      <c r="D309" s="505"/>
      <c r="E309" s="106"/>
      <c r="F309" s="105" t="str">
        <f>F285</f>
        <v>RONDE 9</v>
      </c>
      <c r="G309" s="91"/>
      <c r="I309" s="90"/>
      <c r="J309" s="503" t="str">
        <f>B285</f>
        <v>KWALIFICATIE</v>
      </c>
      <c r="K309" s="504"/>
      <c r="L309" s="505"/>
      <c r="M309" s="106"/>
      <c r="N309" s="105" t="str">
        <f>F285</f>
        <v>RONDE 9</v>
      </c>
      <c r="O309" s="91"/>
    </row>
    <row r="310" spans="1:15" ht="13.5" customHeight="1" thickBot="1" x14ac:dyDescent="0.3">
      <c r="A310" s="90"/>
      <c r="B310" s="92"/>
      <c r="C310" s="92"/>
      <c r="D310" s="92"/>
      <c r="E310" s="92"/>
      <c r="F310" s="93"/>
      <c r="G310" s="91"/>
      <c r="I310" s="90"/>
      <c r="J310" s="92"/>
      <c r="K310" s="92"/>
      <c r="L310" s="92"/>
      <c r="M310" s="92"/>
      <c r="N310" s="93"/>
      <c r="O310" s="91"/>
    </row>
    <row r="311" spans="1:15" ht="20.100000000000001" customHeight="1" thickBot="1" x14ac:dyDescent="0.3">
      <c r="A311" s="94"/>
      <c r="B311" s="495" t="str">
        <f>B287</f>
        <v>12:30 - 12:45 uur</v>
      </c>
      <c r="C311" s="496"/>
      <c r="D311" s="496"/>
      <c r="E311" s="497"/>
      <c r="F311" s="104" t="s">
        <v>253</v>
      </c>
      <c r="G311" s="95"/>
      <c r="H311" s="96"/>
      <c r="I311" s="94"/>
      <c r="J311" s="495" t="str">
        <f>B287</f>
        <v>12:30 - 12:45 uur</v>
      </c>
      <c r="K311" s="496"/>
      <c r="L311" s="496"/>
      <c r="M311" s="497"/>
      <c r="N311" s="104" t="s">
        <v>254</v>
      </c>
      <c r="O311" s="95"/>
    </row>
    <row r="312" spans="1:15" ht="13.5" customHeight="1" thickBot="1" x14ac:dyDescent="0.3">
      <c r="A312" s="90"/>
      <c r="B312" s="97"/>
      <c r="C312" s="92"/>
      <c r="D312" s="92"/>
      <c r="E312" s="92"/>
      <c r="F312" s="98"/>
      <c r="G312" s="91"/>
      <c r="I312" s="90"/>
      <c r="J312" s="97"/>
      <c r="K312" s="92"/>
      <c r="L312" s="92"/>
      <c r="M312" s="92"/>
      <c r="N312" s="98"/>
      <c r="O312" s="91"/>
    </row>
    <row r="313" spans="1:15" s="117" customFormat="1" ht="30" customHeight="1" thickBot="1" x14ac:dyDescent="0.35">
      <c r="A313" s="113"/>
      <c r="B313" s="437" t="str">
        <f>KWALIFICATIE!T56</f>
        <v>Carte blanche</v>
      </c>
      <c r="C313" s="438"/>
      <c r="D313" s="439"/>
      <c r="E313" s="114"/>
      <c r="F313" s="115"/>
      <c r="G313" s="116"/>
      <c r="I313" s="113"/>
      <c r="J313" s="437" t="str">
        <f>KWALIFICATIE!T57</f>
        <v>MAN ON F.C</v>
      </c>
      <c r="K313" s="438"/>
      <c r="L313" s="439"/>
      <c r="M313" s="114"/>
      <c r="N313" s="115"/>
      <c r="O313" s="116"/>
    </row>
    <row r="314" spans="1:15" ht="16.5" thickBot="1" x14ac:dyDescent="0.3">
      <c r="A314" s="90"/>
      <c r="B314" s="99"/>
      <c r="C314" s="99"/>
      <c r="D314" s="99"/>
      <c r="E314" s="99"/>
      <c r="F314" s="99"/>
      <c r="G314" s="91"/>
      <c r="I314" s="90"/>
      <c r="J314" s="99"/>
      <c r="K314" s="99"/>
      <c r="L314" s="99"/>
      <c r="M314" s="99"/>
      <c r="N314" s="99"/>
      <c r="O314" s="91"/>
    </row>
    <row r="315" spans="1:15" s="117" customFormat="1" ht="30" customHeight="1" thickBot="1" x14ac:dyDescent="0.35">
      <c r="A315" s="113"/>
      <c r="B315" s="437" t="str">
        <f>KWALIFICATIE!Y56</f>
        <v>IRRIDUCIBILI</v>
      </c>
      <c r="C315" s="438"/>
      <c r="D315" s="439"/>
      <c r="E315" s="114"/>
      <c r="F315" s="115"/>
      <c r="G315" s="116"/>
      <c r="I315" s="113"/>
      <c r="J315" s="437" t="str">
        <f>KWALIFICATIE!Y57</f>
        <v>FC Carnabal</v>
      </c>
      <c r="K315" s="438"/>
      <c r="L315" s="439"/>
      <c r="M315" s="114"/>
      <c r="N315" s="115"/>
      <c r="O315" s="116"/>
    </row>
    <row r="316" spans="1:15" ht="12" customHeight="1" x14ac:dyDescent="0.25">
      <c r="A316" s="90"/>
      <c r="B316" s="99"/>
      <c r="C316" s="99"/>
      <c r="D316" s="99"/>
      <c r="E316" s="99"/>
      <c r="F316" s="99"/>
      <c r="G316" s="91"/>
      <c r="I316" s="90"/>
      <c r="J316" s="99"/>
      <c r="K316" s="99"/>
      <c r="L316" s="99"/>
      <c r="M316" s="99"/>
      <c r="N316" s="99"/>
      <c r="O316" s="91"/>
    </row>
    <row r="317" spans="1:15" ht="13.5" customHeight="1" x14ac:dyDescent="0.25">
      <c r="A317" s="90"/>
      <c r="B317" s="498" t="str">
        <f>B293</f>
        <v>SCOREKAART - HVC2016</v>
      </c>
      <c r="C317" s="498"/>
      <c r="D317" s="498"/>
      <c r="E317" s="498"/>
      <c r="F317" s="498"/>
      <c r="G317" s="91"/>
      <c r="I317" s="90"/>
      <c r="J317" s="498" t="str">
        <f>B293</f>
        <v>SCOREKAART - HVC2016</v>
      </c>
      <c r="K317" s="498"/>
      <c r="L317" s="498"/>
      <c r="M317" s="498"/>
      <c r="N317" s="498"/>
      <c r="O317" s="91"/>
    </row>
    <row r="318" spans="1:15" ht="12" customHeight="1" thickBot="1" x14ac:dyDescent="0.3">
      <c r="A318" s="101"/>
      <c r="B318" s="102"/>
      <c r="C318" s="102"/>
      <c r="D318" s="102"/>
      <c r="E318" s="102"/>
      <c r="F318" s="102"/>
      <c r="G318" s="103"/>
      <c r="I318" s="101"/>
      <c r="J318" s="102"/>
      <c r="K318" s="102"/>
      <c r="L318" s="102"/>
      <c r="M318" s="102"/>
      <c r="N318" s="102"/>
      <c r="O318" s="103"/>
    </row>
    <row r="319" spans="1:15" ht="14.1" customHeight="1" thickBot="1" x14ac:dyDescent="0.3">
      <c r="A319" s="107"/>
      <c r="B319" s="99"/>
      <c r="C319" s="99"/>
      <c r="D319" s="99"/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107"/>
    </row>
    <row r="320" spans="1:15" ht="16.5" thickBot="1" x14ac:dyDescent="0.3">
      <c r="A320" s="86"/>
      <c r="B320" s="87"/>
      <c r="C320" s="87"/>
      <c r="D320" s="87"/>
      <c r="E320" s="87"/>
      <c r="F320" s="87"/>
      <c r="G320" s="88"/>
      <c r="I320" s="86"/>
      <c r="J320" s="87"/>
      <c r="K320" s="87"/>
      <c r="L320" s="87"/>
      <c r="M320" s="87"/>
      <c r="N320" s="87"/>
      <c r="O320" s="88"/>
    </row>
    <row r="321" spans="1:15" ht="20.100000000000001" customHeight="1" thickBot="1" x14ac:dyDescent="0.3">
      <c r="A321" s="90"/>
      <c r="B321" s="503" t="str">
        <f>B285</f>
        <v>KWALIFICATIE</v>
      </c>
      <c r="C321" s="504"/>
      <c r="D321" s="505"/>
      <c r="E321" s="106"/>
      <c r="F321" s="136" t="s">
        <v>30</v>
      </c>
      <c r="G321" s="91"/>
      <c r="I321" s="90"/>
      <c r="J321" s="503" t="str">
        <f>B285</f>
        <v>KWALIFICATIE</v>
      </c>
      <c r="K321" s="504"/>
      <c r="L321" s="505"/>
      <c r="M321" s="106"/>
      <c r="N321" s="136" t="s">
        <v>30</v>
      </c>
      <c r="O321" s="91"/>
    </row>
    <row r="322" spans="1:15" ht="13.5" customHeight="1" thickBot="1" x14ac:dyDescent="0.3">
      <c r="A322" s="90"/>
      <c r="B322" s="92"/>
      <c r="C322" s="92"/>
      <c r="D322" s="92"/>
      <c r="E322" s="92"/>
      <c r="F322" s="93"/>
      <c r="G322" s="91"/>
      <c r="I322" s="90"/>
      <c r="J322" s="92"/>
      <c r="K322" s="92"/>
      <c r="L322" s="92"/>
      <c r="M322" s="92"/>
      <c r="N322" s="93"/>
      <c r="O322" s="91"/>
    </row>
    <row r="323" spans="1:15" ht="20.100000000000001" customHeight="1" thickBot="1" x14ac:dyDescent="0.3">
      <c r="A323" s="94"/>
      <c r="B323" s="499" t="str">
        <f>START!B11</f>
        <v>12:45 - 13:00 uur</v>
      </c>
      <c r="C323" s="496"/>
      <c r="D323" s="496"/>
      <c r="E323" s="497"/>
      <c r="F323" s="104" t="s">
        <v>249</v>
      </c>
      <c r="G323" s="95"/>
      <c r="H323" s="96"/>
      <c r="I323" s="94"/>
      <c r="J323" s="499" t="str">
        <f>B323</f>
        <v>12:45 - 13:00 uur</v>
      </c>
      <c r="K323" s="496"/>
      <c r="L323" s="496"/>
      <c r="M323" s="497"/>
      <c r="N323" s="104" t="s">
        <v>250</v>
      </c>
      <c r="O323" s="95"/>
    </row>
    <row r="324" spans="1:15" ht="13.5" customHeight="1" thickBot="1" x14ac:dyDescent="0.3">
      <c r="A324" s="90"/>
      <c r="B324" s="97"/>
      <c r="C324" s="92"/>
      <c r="D324" s="92"/>
      <c r="E324" s="92"/>
      <c r="F324" s="98"/>
      <c r="G324" s="91"/>
      <c r="I324" s="90"/>
      <c r="J324" s="97"/>
      <c r="K324" s="92"/>
      <c r="L324" s="92"/>
      <c r="M324" s="92"/>
      <c r="N324" s="98"/>
      <c r="O324" s="91"/>
    </row>
    <row r="325" spans="1:15" s="117" customFormat="1" ht="30" customHeight="1" thickBot="1" x14ac:dyDescent="0.35">
      <c r="A325" s="113"/>
      <c r="B325" s="437" t="str">
        <f>KWALIFICATIE!T60</f>
        <v>Pilsmaten</v>
      </c>
      <c r="C325" s="438"/>
      <c r="D325" s="439"/>
      <c r="E325" s="114"/>
      <c r="F325" s="115"/>
      <c r="G325" s="116"/>
      <c r="I325" s="113"/>
      <c r="J325" s="437" t="str">
        <f>KWALIFICATIE!T61</f>
        <v>Geuzenmiddenmeer</v>
      </c>
      <c r="K325" s="438"/>
      <c r="L325" s="439"/>
      <c r="M325" s="114"/>
      <c r="N325" s="115"/>
      <c r="O325" s="116"/>
    </row>
    <row r="326" spans="1:15" ht="16.5" thickBot="1" x14ac:dyDescent="0.3">
      <c r="A326" s="90"/>
      <c r="B326" s="99"/>
      <c r="C326" s="99"/>
      <c r="D326" s="99"/>
      <c r="E326" s="99"/>
      <c r="F326" s="99"/>
      <c r="G326" s="91"/>
      <c r="I326" s="90"/>
      <c r="J326" s="99"/>
      <c r="K326" s="99"/>
      <c r="L326" s="99"/>
      <c r="M326" s="99"/>
      <c r="N326" s="99"/>
      <c r="O326" s="91"/>
    </row>
    <row r="327" spans="1:15" s="117" customFormat="1" ht="30" customHeight="1" thickBot="1" x14ac:dyDescent="0.35">
      <c r="A327" s="113"/>
      <c r="B327" s="437" t="str">
        <f>KWALIFICATIE!Y60</f>
        <v>Rap</v>
      </c>
      <c r="C327" s="438"/>
      <c r="D327" s="439"/>
      <c r="E327" s="114"/>
      <c r="F327" s="115"/>
      <c r="G327" s="116"/>
      <c r="I327" s="113"/>
      <c r="J327" s="437" t="str">
        <f>KWALIFICATIE!Y61</f>
        <v>De Dinkies</v>
      </c>
      <c r="K327" s="438"/>
      <c r="L327" s="439"/>
      <c r="M327" s="114"/>
      <c r="N327" s="115"/>
      <c r="O327" s="116"/>
    </row>
    <row r="328" spans="1:15" ht="12" customHeight="1" x14ac:dyDescent="0.25">
      <c r="A328" s="90"/>
      <c r="B328" s="99"/>
      <c r="C328" s="99"/>
      <c r="D328" s="99"/>
      <c r="E328" s="99"/>
      <c r="F328" s="99"/>
      <c r="G328" s="91"/>
      <c r="I328" s="90"/>
      <c r="J328" s="99"/>
      <c r="K328" s="99"/>
      <c r="L328" s="99"/>
      <c r="M328" s="99"/>
      <c r="N328" s="99"/>
      <c r="O328" s="91"/>
    </row>
    <row r="329" spans="1:15" ht="13.5" customHeight="1" x14ac:dyDescent="0.25">
      <c r="A329" s="90"/>
      <c r="B329" s="498" t="str">
        <f>B293</f>
        <v>SCOREKAART - HVC2016</v>
      </c>
      <c r="C329" s="498"/>
      <c r="D329" s="498"/>
      <c r="E329" s="498"/>
      <c r="F329" s="498"/>
      <c r="G329" s="91"/>
      <c r="I329" s="90"/>
      <c r="J329" s="498" t="str">
        <f>B293</f>
        <v>SCOREKAART - HVC2016</v>
      </c>
      <c r="K329" s="498"/>
      <c r="L329" s="498"/>
      <c r="M329" s="498"/>
      <c r="N329" s="498"/>
      <c r="O329" s="91"/>
    </row>
    <row r="330" spans="1:15" ht="12" customHeight="1" thickBot="1" x14ac:dyDescent="0.3">
      <c r="A330" s="101"/>
      <c r="B330" s="102"/>
      <c r="C330" s="102"/>
      <c r="D330" s="102"/>
      <c r="E330" s="102"/>
      <c r="F330" s="102"/>
      <c r="G330" s="103"/>
      <c r="I330" s="101"/>
      <c r="J330" s="102"/>
      <c r="K330" s="102"/>
      <c r="L330" s="102"/>
      <c r="M330" s="102"/>
      <c r="N330" s="102"/>
      <c r="O330" s="103"/>
    </row>
    <row r="331" spans="1:15" ht="16.5" thickBot="1" x14ac:dyDescent="0.3">
      <c r="A331" s="86"/>
      <c r="B331" s="87"/>
      <c r="C331" s="87"/>
      <c r="D331" s="87"/>
      <c r="E331" s="87"/>
      <c r="F331" s="87"/>
      <c r="G331" s="88"/>
      <c r="I331" s="86"/>
      <c r="J331" s="87"/>
      <c r="K331" s="87"/>
      <c r="L331" s="87"/>
      <c r="M331" s="87"/>
      <c r="N331" s="87"/>
      <c r="O331" s="88"/>
    </row>
    <row r="332" spans="1:15" ht="20.25" customHeight="1" thickBot="1" x14ac:dyDescent="0.3">
      <c r="A332" s="90"/>
      <c r="B332" s="506" t="str">
        <f>START!D9</f>
        <v>KWALIFICATIE</v>
      </c>
      <c r="C332" s="504"/>
      <c r="D332" s="505"/>
      <c r="E332" s="106"/>
      <c r="F332" s="136" t="s">
        <v>30</v>
      </c>
      <c r="G332" s="91"/>
      <c r="I332" s="90"/>
      <c r="J332" s="503" t="str">
        <f>B332</f>
        <v>KWALIFICATIE</v>
      </c>
      <c r="K332" s="504"/>
      <c r="L332" s="505"/>
      <c r="M332" s="106"/>
      <c r="N332" s="105" t="str">
        <f>F332</f>
        <v>RONDE 10</v>
      </c>
      <c r="O332" s="91"/>
    </row>
    <row r="333" spans="1:15" ht="9.75" customHeight="1" thickBot="1" x14ac:dyDescent="0.3">
      <c r="A333" s="90"/>
      <c r="B333" s="92"/>
      <c r="C333" s="92"/>
      <c r="D333" s="92"/>
      <c r="E333" s="92"/>
      <c r="F333" s="93"/>
      <c r="G333" s="91"/>
      <c r="I333" s="90"/>
      <c r="J333" s="92"/>
      <c r="K333" s="92"/>
      <c r="L333" s="92"/>
      <c r="M333" s="92"/>
      <c r="N333" s="93"/>
      <c r="O333" s="91"/>
    </row>
    <row r="334" spans="1:15" s="96" customFormat="1" ht="19.5" customHeight="1" thickBot="1" x14ac:dyDescent="0.3">
      <c r="A334" s="94"/>
      <c r="B334" s="499" t="str">
        <f>B323</f>
        <v>12:45 - 13:00 uur</v>
      </c>
      <c r="C334" s="496"/>
      <c r="D334" s="496"/>
      <c r="E334" s="497"/>
      <c r="F334" s="104" t="s">
        <v>251</v>
      </c>
      <c r="G334" s="95"/>
      <c r="I334" s="94"/>
      <c r="J334" s="495" t="str">
        <f>B334</f>
        <v>12:45 - 13:00 uur</v>
      </c>
      <c r="K334" s="496"/>
      <c r="L334" s="496"/>
      <c r="M334" s="497"/>
      <c r="N334" s="104" t="s">
        <v>252</v>
      </c>
      <c r="O334" s="95"/>
    </row>
    <row r="335" spans="1:15" ht="14.25" customHeight="1" thickBot="1" x14ac:dyDescent="0.3">
      <c r="A335" s="90"/>
      <c r="B335" s="97"/>
      <c r="C335" s="92"/>
      <c r="D335" s="92"/>
      <c r="E335" s="92"/>
      <c r="F335" s="98"/>
      <c r="G335" s="91"/>
      <c r="I335" s="90"/>
      <c r="J335" s="97"/>
      <c r="K335" s="92"/>
      <c r="L335" s="92"/>
      <c r="M335" s="92"/>
      <c r="N335" s="98"/>
      <c r="O335" s="91"/>
    </row>
    <row r="336" spans="1:15" s="117" customFormat="1" ht="30" customHeight="1" thickBot="1" x14ac:dyDescent="0.35">
      <c r="A336" s="113"/>
      <c r="B336" s="437" t="str">
        <f>KWALIFICATIE!T62</f>
        <v>Scherp Online</v>
      </c>
      <c r="C336" s="438"/>
      <c r="D336" s="439"/>
      <c r="E336" s="114"/>
      <c r="F336" s="115"/>
      <c r="G336" s="116"/>
      <c r="I336" s="113"/>
      <c r="J336" s="437" t="str">
        <f>KWALIFICATIE!T63</f>
        <v>Sammi's Sweathearts</v>
      </c>
      <c r="K336" s="438"/>
      <c r="L336" s="439"/>
      <c r="M336" s="114"/>
      <c r="N336" s="115"/>
      <c r="O336" s="116"/>
    </row>
    <row r="337" spans="1:15" ht="16.5" thickBot="1" x14ac:dyDescent="0.3">
      <c r="A337" s="90"/>
      <c r="B337" s="99"/>
      <c r="C337" s="99"/>
      <c r="D337" s="99"/>
      <c r="E337" s="99"/>
      <c r="F337" s="99"/>
      <c r="G337" s="91"/>
      <c r="I337" s="90"/>
      <c r="J337" s="99"/>
      <c r="K337" s="99"/>
      <c r="L337" s="99"/>
      <c r="M337" s="99"/>
      <c r="N337" s="99"/>
      <c r="O337" s="91"/>
    </row>
    <row r="338" spans="1:15" s="117" customFormat="1" ht="30" customHeight="1" thickBot="1" x14ac:dyDescent="0.35">
      <c r="A338" s="113"/>
      <c r="B338" s="437" t="str">
        <f>KWALIFICATIE!Y62</f>
        <v>Fred Bacon Zalf-fabriekje</v>
      </c>
      <c r="C338" s="438"/>
      <c r="D338" s="439"/>
      <c r="E338" s="114"/>
      <c r="F338" s="115"/>
      <c r="G338" s="116"/>
      <c r="I338" s="113"/>
      <c r="J338" s="437" t="str">
        <f>KWALIFICATIE!Y63</f>
        <v>Team Bublé</v>
      </c>
      <c r="K338" s="438"/>
      <c r="L338" s="439"/>
      <c r="M338" s="114"/>
      <c r="N338" s="115"/>
      <c r="O338" s="116"/>
    </row>
    <row r="339" spans="1:15" ht="12" customHeight="1" x14ac:dyDescent="0.25">
      <c r="A339" s="90"/>
      <c r="B339" s="99"/>
      <c r="C339" s="99"/>
      <c r="D339" s="99"/>
      <c r="E339" s="99"/>
      <c r="F339" s="99"/>
      <c r="G339" s="91"/>
      <c r="I339" s="90"/>
      <c r="J339" s="99"/>
      <c r="K339" s="99"/>
      <c r="L339" s="99"/>
      <c r="M339" s="99"/>
      <c r="N339" s="99"/>
      <c r="O339" s="91"/>
    </row>
    <row r="340" spans="1:15" ht="13.5" customHeight="1" x14ac:dyDescent="0.25">
      <c r="A340" s="90"/>
      <c r="B340" s="498" t="str">
        <f>B329</f>
        <v>SCOREKAART - HVC2016</v>
      </c>
      <c r="C340" s="498"/>
      <c r="D340" s="498"/>
      <c r="E340" s="498"/>
      <c r="F340" s="498"/>
      <c r="G340" s="91"/>
      <c r="I340" s="90"/>
      <c r="J340" s="498" t="str">
        <f>B340</f>
        <v>SCOREKAART - HVC2016</v>
      </c>
      <c r="K340" s="498"/>
      <c r="L340" s="498"/>
      <c r="M340" s="498"/>
      <c r="N340" s="498"/>
      <c r="O340" s="91"/>
    </row>
    <row r="341" spans="1:15" ht="11.25" customHeight="1" thickBot="1" x14ac:dyDescent="0.3">
      <c r="A341" s="101"/>
      <c r="B341" s="102"/>
      <c r="C341" s="102"/>
      <c r="D341" s="102"/>
      <c r="E341" s="102"/>
      <c r="F341" s="102"/>
      <c r="G341" s="103"/>
      <c r="I341" s="101"/>
      <c r="J341" s="102"/>
      <c r="K341" s="102"/>
      <c r="L341" s="102"/>
      <c r="M341" s="102"/>
      <c r="N341" s="102"/>
      <c r="O341" s="103"/>
    </row>
    <row r="342" spans="1:15" ht="13.5" customHeight="1" thickBot="1" x14ac:dyDescent="0.3">
      <c r="A342" s="99"/>
      <c r="B342" s="99"/>
      <c r="C342" s="99"/>
      <c r="D342" s="99"/>
      <c r="E342" s="99"/>
      <c r="F342" s="99"/>
      <c r="G342" s="99"/>
      <c r="I342" s="99"/>
      <c r="J342" s="99"/>
      <c r="K342" s="99"/>
      <c r="L342" s="99"/>
      <c r="M342" s="99"/>
      <c r="N342" s="99"/>
      <c r="O342" s="99"/>
    </row>
    <row r="343" spans="1:15" ht="16.5" thickBot="1" x14ac:dyDescent="0.3">
      <c r="A343" s="86"/>
      <c r="B343" s="87"/>
      <c r="C343" s="87"/>
      <c r="D343" s="87"/>
      <c r="E343" s="87"/>
      <c r="F343" s="87"/>
      <c r="G343" s="88"/>
      <c r="I343" s="86"/>
      <c r="J343" s="87"/>
      <c r="K343" s="87"/>
      <c r="L343" s="87"/>
      <c r="M343" s="87"/>
      <c r="N343" s="87"/>
      <c r="O343" s="88"/>
    </row>
    <row r="344" spans="1:15" ht="20.100000000000001" customHeight="1" thickBot="1" x14ac:dyDescent="0.3">
      <c r="A344" s="90"/>
      <c r="B344" s="503" t="str">
        <f>B332</f>
        <v>KWALIFICATIE</v>
      </c>
      <c r="C344" s="504"/>
      <c r="D344" s="505"/>
      <c r="E344" s="106"/>
      <c r="F344" s="105" t="str">
        <f>F332</f>
        <v>RONDE 10</v>
      </c>
      <c r="G344" s="91"/>
      <c r="I344" s="90"/>
      <c r="J344" s="503" t="str">
        <f>B332</f>
        <v>KWALIFICATIE</v>
      </c>
      <c r="K344" s="504"/>
      <c r="L344" s="505"/>
      <c r="M344" s="106"/>
      <c r="N344" s="105" t="str">
        <f>F332</f>
        <v>RONDE 10</v>
      </c>
      <c r="O344" s="91"/>
    </row>
    <row r="345" spans="1:15" ht="9.75" customHeight="1" thickBot="1" x14ac:dyDescent="0.3">
      <c r="A345" s="90"/>
      <c r="B345" s="92"/>
      <c r="C345" s="92"/>
      <c r="D345" s="92"/>
      <c r="E345" s="92"/>
      <c r="F345" s="93"/>
      <c r="G345" s="91"/>
      <c r="I345" s="90"/>
      <c r="J345" s="92"/>
      <c r="K345" s="92"/>
      <c r="L345" s="92"/>
      <c r="M345" s="92"/>
      <c r="N345" s="93"/>
      <c r="O345" s="91"/>
    </row>
    <row r="346" spans="1:15" ht="20.100000000000001" customHeight="1" thickBot="1" x14ac:dyDescent="0.3">
      <c r="A346" s="94"/>
      <c r="B346" s="495" t="str">
        <f>B334</f>
        <v>12:45 - 13:00 uur</v>
      </c>
      <c r="C346" s="496"/>
      <c r="D346" s="496"/>
      <c r="E346" s="497"/>
      <c r="F346" s="104" t="s">
        <v>253</v>
      </c>
      <c r="G346" s="95"/>
      <c r="H346" s="96"/>
      <c r="I346" s="94"/>
      <c r="J346" s="495" t="str">
        <f>B334</f>
        <v>12:45 - 13:00 uur</v>
      </c>
      <c r="K346" s="496"/>
      <c r="L346" s="496"/>
      <c r="M346" s="497"/>
      <c r="N346" s="104" t="s">
        <v>254</v>
      </c>
      <c r="O346" s="95"/>
    </row>
    <row r="347" spans="1:15" ht="13.5" customHeight="1" thickBot="1" x14ac:dyDescent="0.3">
      <c r="A347" s="90"/>
      <c r="B347" s="97"/>
      <c r="C347" s="92"/>
      <c r="D347" s="92"/>
      <c r="E347" s="92"/>
      <c r="F347" s="98"/>
      <c r="G347" s="91"/>
      <c r="I347" s="90"/>
      <c r="J347" s="97"/>
      <c r="K347" s="92"/>
      <c r="L347" s="92"/>
      <c r="M347" s="92"/>
      <c r="N347" s="98"/>
      <c r="O347" s="91"/>
    </row>
    <row r="348" spans="1:15" s="117" customFormat="1" ht="30" customHeight="1" thickBot="1" x14ac:dyDescent="0.35">
      <c r="A348" s="113"/>
      <c r="B348" s="437" t="str">
        <f>KWALIFICATIE!T64</f>
        <v>Correctie veld 4</v>
      </c>
      <c r="C348" s="438"/>
      <c r="D348" s="439"/>
      <c r="E348" s="114"/>
      <c r="F348" s="115"/>
      <c r="G348" s="116"/>
      <c r="I348" s="113"/>
      <c r="J348" s="437" t="str">
        <f>KWALIFICATIE!T65</f>
        <v>Combiwel</v>
      </c>
      <c r="K348" s="438"/>
      <c r="L348" s="439"/>
      <c r="M348" s="114"/>
      <c r="N348" s="115"/>
      <c r="O348" s="116"/>
    </row>
    <row r="349" spans="1:15" ht="16.5" thickBot="1" x14ac:dyDescent="0.3">
      <c r="A349" s="90"/>
      <c r="B349" s="99"/>
      <c r="C349" s="99"/>
      <c r="D349" s="99"/>
      <c r="E349" s="99"/>
      <c r="F349" s="99"/>
      <c r="G349" s="91"/>
      <c r="I349" s="90"/>
      <c r="J349" s="99"/>
      <c r="K349" s="99"/>
      <c r="L349" s="99"/>
      <c r="M349" s="99"/>
      <c r="N349" s="99"/>
      <c r="O349" s="91"/>
    </row>
    <row r="350" spans="1:15" s="117" customFormat="1" ht="30" customHeight="1" thickBot="1" x14ac:dyDescent="0.35">
      <c r="A350" s="113"/>
      <c r="B350" s="437" t="str">
        <f>KWALIFICATIE!Y64</f>
        <v>Swiffie 5</v>
      </c>
      <c r="C350" s="438"/>
      <c r="D350" s="439"/>
      <c r="E350" s="114"/>
      <c r="F350" s="115"/>
      <c r="G350" s="116"/>
      <c r="I350" s="113"/>
      <c r="J350" s="437" t="str">
        <f>KWALIFICATIE!Y65</f>
        <v>Sporting Almere</v>
      </c>
      <c r="K350" s="438"/>
      <c r="L350" s="439"/>
      <c r="M350" s="114"/>
      <c r="N350" s="115"/>
      <c r="O350" s="116"/>
    </row>
    <row r="351" spans="1:15" ht="12" customHeight="1" x14ac:dyDescent="0.25">
      <c r="A351" s="90"/>
      <c r="B351" s="99"/>
      <c r="C351" s="99"/>
      <c r="D351" s="99"/>
      <c r="E351" s="99"/>
      <c r="F351" s="99"/>
      <c r="G351" s="91"/>
      <c r="I351" s="90"/>
      <c r="J351" s="99"/>
      <c r="K351" s="99"/>
      <c r="L351" s="99"/>
      <c r="M351" s="99"/>
      <c r="N351" s="99"/>
      <c r="O351" s="91"/>
    </row>
    <row r="352" spans="1:15" ht="13.5" customHeight="1" x14ac:dyDescent="0.25">
      <c r="A352" s="90"/>
      <c r="B352" s="498" t="str">
        <f>B340</f>
        <v>SCOREKAART - HVC2016</v>
      </c>
      <c r="C352" s="498"/>
      <c r="D352" s="498"/>
      <c r="E352" s="498"/>
      <c r="F352" s="498"/>
      <c r="G352" s="91"/>
      <c r="I352" s="90"/>
      <c r="J352" s="498" t="str">
        <f>B340</f>
        <v>SCOREKAART - HVC2016</v>
      </c>
      <c r="K352" s="498"/>
      <c r="L352" s="498"/>
      <c r="M352" s="498"/>
      <c r="N352" s="498"/>
      <c r="O352" s="91"/>
    </row>
    <row r="353" spans="1:15" ht="11.25" customHeight="1" x14ac:dyDescent="0.25">
      <c r="A353" s="90"/>
      <c r="B353" s="99"/>
      <c r="C353" s="99"/>
      <c r="D353" s="99"/>
      <c r="E353" s="99"/>
      <c r="F353" s="99"/>
      <c r="G353" s="91"/>
      <c r="I353" s="90"/>
      <c r="J353" s="99"/>
      <c r="K353" s="99"/>
      <c r="L353" s="99"/>
      <c r="M353" s="99"/>
      <c r="N353" s="99"/>
      <c r="O353" s="91"/>
    </row>
    <row r="354" spans="1:15" ht="14.1" customHeight="1" x14ac:dyDescent="0.25">
      <c r="A354" s="92"/>
      <c r="B354" s="92"/>
      <c r="C354" s="92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</row>
    <row r="355" spans="1:15" ht="16.5" customHeight="1" x14ac:dyDescent="0.25">
      <c r="A355" s="92"/>
      <c r="B355" s="92"/>
      <c r="C355" s="92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</row>
    <row r="356" spans="1:15" ht="20.100000000000001" customHeight="1" x14ac:dyDescent="0.25">
      <c r="A356" s="92"/>
      <c r="B356" s="494"/>
      <c r="C356" s="494"/>
      <c r="D356" s="494"/>
      <c r="E356" s="436"/>
      <c r="F356" s="125"/>
      <c r="G356" s="92"/>
      <c r="H356" s="92"/>
      <c r="I356" s="92"/>
      <c r="J356" s="494"/>
      <c r="K356" s="494"/>
      <c r="L356" s="494"/>
      <c r="M356" s="436"/>
      <c r="N356" s="125"/>
      <c r="O356" s="92"/>
    </row>
    <row r="357" spans="1:15" ht="13.5" customHeight="1" x14ac:dyDescent="0.25">
      <c r="A357" s="92"/>
      <c r="B357" s="92"/>
      <c r="C357" s="92"/>
      <c r="D357" s="92"/>
      <c r="E357" s="92"/>
      <c r="F357" s="98"/>
      <c r="G357" s="92"/>
      <c r="H357" s="92"/>
      <c r="I357" s="92"/>
      <c r="J357" s="92"/>
      <c r="K357" s="92"/>
      <c r="L357" s="92"/>
      <c r="M357" s="92"/>
      <c r="N357" s="98"/>
      <c r="O357" s="92"/>
    </row>
    <row r="358" spans="1:15" ht="20.100000000000001" customHeight="1" x14ac:dyDescent="0.25">
      <c r="A358" s="127"/>
      <c r="B358" s="492"/>
      <c r="C358" s="492"/>
      <c r="D358" s="492"/>
      <c r="E358" s="492"/>
      <c r="F358" s="126"/>
      <c r="G358" s="127"/>
      <c r="H358" s="127"/>
      <c r="I358" s="127"/>
      <c r="J358" s="492"/>
      <c r="K358" s="492"/>
      <c r="L358" s="492"/>
      <c r="M358" s="492"/>
      <c r="N358" s="126"/>
      <c r="O358" s="127"/>
    </row>
    <row r="359" spans="1:15" ht="13.5" customHeight="1" x14ac:dyDescent="0.25">
      <c r="A359" s="92"/>
      <c r="B359" s="97"/>
      <c r="C359" s="92"/>
      <c r="D359" s="92"/>
      <c r="E359" s="92"/>
      <c r="F359" s="98"/>
      <c r="G359" s="92"/>
      <c r="H359" s="92"/>
      <c r="I359" s="92"/>
      <c r="J359" s="97"/>
      <c r="K359" s="92"/>
      <c r="L359" s="92"/>
      <c r="M359" s="92"/>
      <c r="N359" s="98"/>
      <c r="O359" s="92"/>
    </row>
    <row r="360" spans="1:15" s="117" customFormat="1" ht="30" customHeight="1" x14ac:dyDescent="0.3">
      <c r="A360" s="137"/>
      <c r="B360" s="138"/>
      <c r="C360" s="138"/>
      <c r="D360" s="138"/>
      <c r="E360" s="137"/>
      <c r="F360" s="137"/>
      <c r="G360" s="137"/>
      <c r="H360" s="137"/>
      <c r="I360" s="137"/>
      <c r="J360" s="138"/>
      <c r="K360" s="138"/>
      <c r="L360" s="138"/>
      <c r="M360" s="137"/>
      <c r="N360" s="137"/>
      <c r="O360" s="137"/>
    </row>
    <row r="361" spans="1:15" x14ac:dyDescent="0.25">
      <c r="A361" s="92"/>
      <c r="B361" s="92"/>
      <c r="C361" s="92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</row>
    <row r="362" spans="1:15" s="117" customFormat="1" ht="30" customHeight="1" x14ac:dyDescent="0.3">
      <c r="A362" s="137"/>
      <c r="B362" s="138"/>
      <c r="C362" s="138"/>
      <c r="D362" s="138"/>
      <c r="E362" s="137"/>
      <c r="F362" s="137"/>
      <c r="G362" s="137"/>
      <c r="H362" s="137"/>
      <c r="I362" s="137"/>
      <c r="J362" s="138"/>
      <c r="K362" s="138"/>
      <c r="L362" s="138"/>
      <c r="M362" s="137"/>
      <c r="N362" s="137"/>
      <c r="O362" s="137"/>
    </row>
    <row r="363" spans="1:15" ht="12" customHeight="1" x14ac:dyDescent="0.25">
      <c r="A363" s="92"/>
      <c r="B363" s="92"/>
      <c r="C363" s="92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</row>
    <row r="364" spans="1:15" ht="13.5" customHeight="1" x14ac:dyDescent="0.25">
      <c r="A364" s="92"/>
      <c r="B364" s="493"/>
      <c r="C364" s="493"/>
      <c r="D364" s="493"/>
      <c r="E364" s="493"/>
      <c r="F364" s="493"/>
      <c r="G364" s="92"/>
      <c r="H364" s="92"/>
      <c r="I364" s="92"/>
      <c r="J364" s="493"/>
      <c r="K364" s="493"/>
      <c r="L364" s="493"/>
      <c r="M364" s="493"/>
      <c r="N364" s="493"/>
      <c r="O364" s="92"/>
    </row>
    <row r="365" spans="1:15" ht="12" customHeight="1" x14ac:dyDescent="0.25">
      <c r="A365" s="92"/>
      <c r="B365" s="92"/>
      <c r="C365" s="92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</row>
    <row r="366" spans="1:15" ht="14.1" customHeight="1" x14ac:dyDescent="0.25">
      <c r="A366" s="92"/>
      <c r="B366" s="92"/>
      <c r="C366" s="92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</row>
    <row r="367" spans="1:15" x14ac:dyDescent="0.25">
      <c r="A367" s="92"/>
      <c r="B367" s="92"/>
      <c r="C367" s="92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</row>
    <row r="368" spans="1:15" ht="20.100000000000001" customHeight="1" x14ac:dyDescent="0.25">
      <c r="A368" s="92"/>
      <c r="B368" s="494"/>
      <c r="C368" s="494"/>
      <c r="D368" s="494"/>
      <c r="E368" s="436"/>
      <c r="F368" s="125"/>
      <c r="G368" s="92"/>
      <c r="H368" s="92"/>
      <c r="I368" s="92"/>
      <c r="J368" s="494"/>
      <c r="K368" s="494"/>
      <c r="L368" s="494"/>
      <c r="M368" s="436"/>
      <c r="N368" s="125"/>
      <c r="O368" s="92"/>
    </row>
    <row r="369" spans="1:15" ht="13.5" customHeight="1" x14ac:dyDescent="0.25">
      <c r="A369" s="92"/>
      <c r="B369" s="92"/>
      <c r="C369" s="92"/>
      <c r="D369" s="92"/>
      <c r="E369" s="92"/>
      <c r="F369" s="98"/>
      <c r="G369" s="92"/>
      <c r="H369" s="92"/>
      <c r="I369" s="92"/>
      <c r="J369" s="92"/>
      <c r="K369" s="92"/>
      <c r="L369" s="92"/>
      <c r="M369" s="92"/>
      <c r="N369" s="98"/>
      <c r="O369" s="92"/>
    </row>
    <row r="370" spans="1:15" ht="20.100000000000001" customHeight="1" x14ac:dyDescent="0.25">
      <c r="A370" s="127"/>
      <c r="B370" s="492"/>
      <c r="C370" s="492"/>
      <c r="D370" s="492"/>
      <c r="E370" s="492"/>
      <c r="F370" s="126"/>
      <c r="G370" s="127"/>
      <c r="H370" s="127"/>
      <c r="I370" s="127"/>
      <c r="J370" s="492"/>
      <c r="K370" s="492"/>
      <c r="L370" s="492"/>
      <c r="M370" s="492"/>
      <c r="N370" s="126"/>
      <c r="O370" s="127"/>
    </row>
    <row r="371" spans="1:15" ht="13.5" customHeight="1" x14ac:dyDescent="0.25">
      <c r="A371" s="92"/>
      <c r="B371" s="97"/>
      <c r="C371" s="92"/>
      <c r="D371" s="92"/>
      <c r="E371" s="92"/>
      <c r="F371" s="98"/>
      <c r="G371" s="92"/>
      <c r="H371" s="92"/>
      <c r="I371" s="92"/>
      <c r="J371" s="97"/>
      <c r="K371" s="92"/>
      <c r="L371" s="92"/>
      <c r="M371" s="92"/>
      <c r="N371" s="98"/>
      <c r="O371" s="92"/>
    </row>
    <row r="372" spans="1:15" s="117" customFormat="1" ht="30" customHeight="1" x14ac:dyDescent="0.3">
      <c r="A372" s="137"/>
      <c r="B372" s="138"/>
      <c r="C372" s="138"/>
      <c r="D372" s="138"/>
      <c r="E372" s="137"/>
      <c r="F372" s="137"/>
      <c r="G372" s="137"/>
      <c r="H372" s="137"/>
      <c r="I372" s="137"/>
      <c r="J372" s="138"/>
      <c r="K372" s="138"/>
      <c r="L372" s="138"/>
      <c r="M372" s="137"/>
      <c r="N372" s="137"/>
      <c r="O372" s="137"/>
    </row>
    <row r="373" spans="1:15" x14ac:dyDescent="0.25">
      <c r="A373" s="92"/>
      <c r="B373" s="92"/>
      <c r="C373" s="92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</row>
    <row r="374" spans="1:15" s="117" customFormat="1" ht="30" customHeight="1" x14ac:dyDescent="0.3">
      <c r="A374" s="137"/>
      <c r="B374" s="138"/>
      <c r="C374" s="138"/>
      <c r="D374" s="138"/>
      <c r="E374" s="137"/>
      <c r="F374" s="137"/>
      <c r="G374" s="137"/>
      <c r="H374" s="137"/>
      <c r="I374" s="137"/>
      <c r="J374" s="138"/>
      <c r="K374" s="138"/>
      <c r="L374" s="138"/>
      <c r="M374" s="137"/>
      <c r="N374" s="137"/>
      <c r="O374" s="137"/>
    </row>
    <row r="375" spans="1:15" ht="12" customHeight="1" x14ac:dyDescent="0.25">
      <c r="A375" s="92"/>
      <c r="B375" s="92"/>
      <c r="C375" s="92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</row>
    <row r="376" spans="1:15" ht="13.5" customHeight="1" x14ac:dyDescent="0.25">
      <c r="A376" s="92"/>
      <c r="B376" s="493"/>
      <c r="C376" s="493"/>
      <c r="D376" s="493"/>
      <c r="E376" s="493"/>
      <c r="F376" s="493"/>
      <c r="G376" s="92"/>
      <c r="H376" s="92"/>
      <c r="I376" s="92"/>
      <c r="J376" s="493"/>
      <c r="K376" s="493"/>
      <c r="L376" s="493"/>
      <c r="M376" s="493"/>
      <c r="N376" s="493"/>
      <c r="O376" s="92"/>
    </row>
    <row r="377" spans="1:15" ht="12" customHeight="1" x14ac:dyDescent="0.25">
      <c r="A377" s="92"/>
      <c r="B377" s="92"/>
      <c r="C377" s="92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</row>
  </sheetData>
  <mergeCells count="287">
    <mergeCell ref="B370:E370"/>
    <mergeCell ref="J370:M370"/>
    <mergeCell ref="B376:F376"/>
    <mergeCell ref="J376:N376"/>
    <mergeCell ref="B358:E358"/>
    <mergeCell ref="J358:M358"/>
    <mergeCell ref="B364:F364"/>
    <mergeCell ref="J364:N364"/>
    <mergeCell ref="B368:D368"/>
    <mergeCell ref="J368:L368"/>
    <mergeCell ref="B346:E346"/>
    <mergeCell ref="J346:M346"/>
    <mergeCell ref="B352:F352"/>
    <mergeCell ref="J352:N352"/>
    <mergeCell ref="B356:D356"/>
    <mergeCell ref="J356:L356"/>
    <mergeCell ref="B334:E334"/>
    <mergeCell ref="J334:M334"/>
    <mergeCell ref="B340:F340"/>
    <mergeCell ref="J340:N340"/>
    <mergeCell ref="B344:D344"/>
    <mergeCell ref="J344:L344"/>
    <mergeCell ref="B323:E323"/>
    <mergeCell ref="J323:M323"/>
    <mergeCell ref="B329:F329"/>
    <mergeCell ref="J329:N329"/>
    <mergeCell ref="B332:D332"/>
    <mergeCell ref="J332:L332"/>
    <mergeCell ref="B311:E311"/>
    <mergeCell ref="J311:M311"/>
    <mergeCell ref="B317:F317"/>
    <mergeCell ref="J317:N317"/>
    <mergeCell ref="B321:D321"/>
    <mergeCell ref="J321:L321"/>
    <mergeCell ref="B303:D303"/>
    <mergeCell ref="J303:L303"/>
    <mergeCell ref="B305:F305"/>
    <mergeCell ref="J305:N305"/>
    <mergeCell ref="B309:D309"/>
    <mergeCell ref="J309:L309"/>
    <mergeCell ref="B297:D297"/>
    <mergeCell ref="J297:L297"/>
    <mergeCell ref="B299:E299"/>
    <mergeCell ref="J299:M299"/>
    <mergeCell ref="B301:D301"/>
    <mergeCell ref="J301:L301"/>
    <mergeCell ref="B285:D285"/>
    <mergeCell ref="J285:L285"/>
    <mergeCell ref="B287:E287"/>
    <mergeCell ref="J287:M287"/>
    <mergeCell ref="B293:F293"/>
    <mergeCell ref="J293:N293"/>
    <mergeCell ref="B274:D274"/>
    <mergeCell ref="J274:L274"/>
    <mergeCell ref="B276:E276"/>
    <mergeCell ref="J276:M276"/>
    <mergeCell ref="B282:F282"/>
    <mergeCell ref="J282:N282"/>
    <mergeCell ref="B266:D266"/>
    <mergeCell ref="J266:L266"/>
    <mergeCell ref="B268:D268"/>
    <mergeCell ref="J268:L268"/>
    <mergeCell ref="B270:F270"/>
    <mergeCell ref="J270:N270"/>
    <mergeCell ref="B258:F258"/>
    <mergeCell ref="J258:N258"/>
    <mergeCell ref="B262:D262"/>
    <mergeCell ref="J262:L262"/>
    <mergeCell ref="B264:E264"/>
    <mergeCell ref="J264:M264"/>
    <mergeCell ref="B252:E252"/>
    <mergeCell ref="J252:M252"/>
    <mergeCell ref="B254:D254"/>
    <mergeCell ref="J254:L254"/>
    <mergeCell ref="B256:D256"/>
    <mergeCell ref="J256:L256"/>
    <mergeCell ref="B244:D244"/>
    <mergeCell ref="J244:L244"/>
    <mergeCell ref="B246:F246"/>
    <mergeCell ref="J246:N246"/>
    <mergeCell ref="B250:D250"/>
    <mergeCell ref="J250:L250"/>
    <mergeCell ref="B238:D238"/>
    <mergeCell ref="J238:L238"/>
    <mergeCell ref="B240:E240"/>
    <mergeCell ref="J240:M240"/>
    <mergeCell ref="B242:D242"/>
    <mergeCell ref="J242:L242"/>
    <mergeCell ref="B231:D231"/>
    <mergeCell ref="J231:L231"/>
    <mergeCell ref="B233:D233"/>
    <mergeCell ref="J233:L233"/>
    <mergeCell ref="B235:F235"/>
    <mergeCell ref="J235:N235"/>
    <mergeCell ref="B223:F223"/>
    <mergeCell ref="J223:N223"/>
    <mergeCell ref="B227:D227"/>
    <mergeCell ref="J227:L227"/>
    <mergeCell ref="B229:E229"/>
    <mergeCell ref="J229:M229"/>
    <mergeCell ref="B217:E217"/>
    <mergeCell ref="J217:M217"/>
    <mergeCell ref="B219:D219"/>
    <mergeCell ref="J219:L219"/>
    <mergeCell ref="B221:D221"/>
    <mergeCell ref="J221:L221"/>
    <mergeCell ref="B207:D207"/>
    <mergeCell ref="J207:L207"/>
    <mergeCell ref="B209:D209"/>
    <mergeCell ref="B211:F211"/>
    <mergeCell ref="J211:N211"/>
    <mergeCell ref="B215:D215"/>
    <mergeCell ref="J215:L215"/>
    <mergeCell ref="B199:F199"/>
    <mergeCell ref="J199:N199"/>
    <mergeCell ref="B203:D203"/>
    <mergeCell ref="J203:L203"/>
    <mergeCell ref="B205:E205"/>
    <mergeCell ref="J205:M205"/>
    <mergeCell ref="B193:E193"/>
    <mergeCell ref="J193:M193"/>
    <mergeCell ref="B195:D195"/>
    <mergeCell ref="J195:L195"/>
    <mergeCell ref="B197:D197"/>
    <mergeCell ref="J197:L197"/>
    <mergeCell ref="B186:D186"/>
    <mergeCell ref="J186:L186"/>
    <mergeCell ref="B188:F188"/>
    <mergeCell ref="J188:N188"/>
    <mergeCell ref="B191:D191"/>
    <mergeCell ref="J191:L191"/>
    <mergeCell ref="B180:D180"/>
    <mergeCell ref="J180:L180"/>
    <mergeCell ref="B182:E182"/>
    <mergeCell ref="J182:M182"/>
    <mergeCell ref="B184:D184"/>
    <mergeCell ref="J184:L184"/>
    <mergeCell ref="B172:D172"/>
    <mergeCell ref="J172:L172"/>
    <mergeCell ref="B174:D174"/>
    <mergeCell ref="J174:L174"/>
    <mergeCell ref="B176:F176"/>
    <mergeCell ref="J176:N176"/>
    <mergeCell ref="B164:F164"/>
    <mergeCell ref="J164:N164"/>
    <mergeCell ref="B168:D168"/>
    <mergeCell ref="J168:L168"/>
    <mergeCell ref="B170:E170"/>
    <mergeCell ref="J170:M170"/>
    <mergeCell ref="B158:E158"/>
    <mergeCell ref="J158:M158"/>
    <mergeCell ref="B160:D160"/>
    <mergeCell ref="J160:L160"/>
    <mergeCell ref="B162:D162"/>
    <mergeCell ref="J162:L162"/>
    <mergeCell ref="B150:D150"/>
    <mergeCell ref="J150:L150"/>
    <mergeCell ref="B152:F152"/>
    <mergeCell ref="J152:N152"/>
    <mergeCell ref="B156:D156"/>
    <mergeCell ref="J156:L156"/>
    <mergeCell ref="B144:D144"/>
    <mergeCell ref="J144:L144"/>
    <mergeCell ref="B146:E146"/>
    <mergeCell ref="J146:M146"/>
    <mergeCell ref="B148:D148"/>
    <mergeCell ref="J148:L148"/>
    <mergeCell ref="B137:D137"/>
    <mergeCell ref="J137:L137"/>
    <mergeCell ref="B139:D139"/>
    <mergeCell ref="J139:L139"/>
    <mergeCell ref="B141:F141"/>
    <mergeCell ref="J141:N141"/>
    <mergeCell ref="B129:F129"/>
    <mergeCell ref="J129:N129"/>
    <mergeCell ref="B133:D133"/>
    <mergeCell ref="J133:L133"/>
    <mergeCell ref="B135:E135"/>
    <mergeCell ref="J135:M135"/>
    <mergeCell ref="B123:E123"/>
    <mergeCell ref="J123:M123"/>
    <mergeCell ref="B125:D125"/>
    <mergeCell ref="J125:L125"/>
    <mergeCell ref="B127:D127"/>
    <mergeCell ref="J127:L127"/>
    <mergeCell ref="B115:D115"/>
    <mergeCell ref="J115:L115"/>
    <mergeCell ref="B117:F117"/>
    <mergeCell ref="J117:N117"/>
    <mergeCell ref="B121:D121"/>
    <mergeCell ref="J121:L121"/>
    <mergeCell ref="B109:D109"/>
    <mergeCell ref="J109:L109"/>
    <mergeCell ref="B111:E111"/>
    <mergeCell ref="J111:M111"/>
    <mergeCell ref="B113:D113"/>
    <mergeCell ref="J113:L113"/>
    <mergeCell ref="B101:D101"/>
    <mergeCell ref="J101:L101"/>
    <mergeCell ref="B103:D103"/>
    <mergeCell ref="J103:L103"/>
    <mergeCell ref="B105:F105"/>
    <mergeCell ref="J105:N105"/>
    <mergeCell ref="B94:F94"/>
    <mergeCell ref="J94:N94"/>
    <mergeCell ref="B97:D97"/>
    <mergeCell ref="J97:L97"/>
    <mergeCell ref="B99:E99"/>
    <mergeCell ref="J99:M99"/>
    <mergeCell ref="B88:E88"/>
    <mergeCell ref="J88:M88"/>
    <mergeCell ref="B90:D90"/>
    <mergeCell ref="J90:L90"/>
    <mergeCell ref="B92:D92"/>
    <mergeCell ref="J92:L92"/>
    <mergeCell ref="B80:D80"/>
    <mergeCell ref="J80:L80"/>
    <mergeCell ref="B82:F82"/>
    <mergeCell ref="J82:N82"/>
    <mergeCell ref="B86:D86"/>
    <mergeCell ref="J86:L86"/>
    <mergeCell ref="B74:D74"/>
    <mergeCell ref="J74:L74"/>
    <mergeCell ref="B76:E76"/>
    <mergeCell ref="J76:M76"/>
    <mergeCell ref="B78:D78"/>
    <mergeCell ref="J78:L78"/>
    <mergeCell ref="B66:D66"/>
    <mergeCell ref="J66:L66"/>
    <mergeCell ref="B68:D68"/>
    <mergeCell ref="J68:L68"/>
    <mergeCell ref="B70:F70"/>
    <mergeCell ref="J70:N70"/>
    <mergeCell ref="B58:F58"/>
    <mergeCell ref="J58:N58"/>
    <mergeCell ref="B62:D62"/>
    <mergeCell ref="J62:L62"/>
    <mergeCell ref="B64:E64"/>
    <mergeCell ref="J64:M64"/>
    <mergeCell ref="B52:E52"/>
    <mergeCell ref="J52:M52"/>
    <mergeCell ref="B54:D54"/>
    <mergeCell ref="J54:L54"/>
    <mergeCell ref="B56:D56"/>
    <mergeCell ref="J56:L56"/>
    <mergeCell ref="B44:D44"/>
    <mergeCell ref="J44:L44"/>
    <mergeCell ref="B46:F46"/>
    <mergeCell ref="J46:N46"/>
    <mergeCell ref="B50:D50"/>
    <mergeCell ref="J50:L50"/>
    <mergeCell ref="B38:D38"/>
    <mergeCell ref="J38:L38"/>
    <mergeCell ref="B40:E40"/>
    <mergeCell ref="J40:M40"/>
    <mergeCell ref="B42:D42"/>
    <mergeCell ref="J42:L42"/>
    <mergeCell ref="B30:D30"/>
    <mergeCell ref="J30:L30"/>
    <mergeCell ref="B32:D32"/>
    <mergeCell ref="J32:L32"/>
    <mergeCell ref="B34:F34"/>
    <mergeCell ref="J34:N34"/>
    <mergeCell ref="B22:F22"/>
    <mergeCell ref="J22:N22"/>
    <mergeCell ref="B26:D26"/>
    <mergeCell ref="J26:L26"/>
    <mergeCell ref="B28:E28"/>
    <mergeCell ref="J28:M28"/>
    <mergeCell ref="B16:E16"/>
    <mergeCell ref="J16:M16"/>
    <mergeCell ref="B18:D18"/>
    <mergeCell ref="J18:L18"/>
    <mergeCell ref="B20:D20"/>
    <mergeCell ref="J20:L20"/>
    <mergeCell ref="B8:D8"/>
    <mergeCell ref="J8:L8"/>
    <mergeCell ref="B10:F10"/>
    <mergeCell ref="J10:N10"/>
    <mergeCell ref="B14:D14"/>
    <mergeCell ref="J14:L14"/>
    <mergeCell ref="B2:D2"/>
    <mergeCell ref="J2:L2"/>
    <mergeCell ref="B4:E4"/>
    <mergeCell ref="J4:M4"/>
    <mergeCell ref="B6:D6"/>
    <mergeCell ref="J6:L6"/>
  </mergeCells>
  <pageMargins left="0.28000000000000003" right="0.4" top="0.54" bottom="0.5" header="0.28999999999999998" footer="0.5"/>
  <pageSetup scale="87" orientation="portrait" horizontalDpi="300" verticalDpi="300" r:id="rId1"/>
  <headerFooter alignWithMargins="0"/>
  <rowBreaks count="10" manualBreakCount="10">
    <brk id="35" max="16383" man="1"/>
    <brk id="71" max="16383" man="1"/>
    <brk id="106" max="16383" man="1"/>
    <brk id="142" max="16383" man="1"/>
    <brk id="177" max="16383" man="1"/>
    <brk id="212" max="16383" man="1"/>
    <brk id="247" max="16383" man="1"/>
    <brk id="283" max="16383" man="1"/>
    <brk id="318" max="16383" man="1"/>
    <brk id="35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7"/>
  <sheetViews>
    <sheetView view="pageBreakPreview" zoomScale="115" zoomScaleNormal="100" zoomScaleSheetLayoutView="115" workbookViewId="0">
      <selection activeCell="J26" sqref="J26:L26"/>
    </sheetView>
  </sheetViews>
  <sheetFormatPr defaultColWidth="10.28515625" defaultRowHeight="15.75" x14ac:dyDescent="0.25"/>
  <cols>
    <col min="1" max="1" width="2.42578125" style="89" customWidth="1"/>
    <col min="2" max="2" width="17" style="89" customWidth="1"/>
    <col min="3" max="3" width="5.85546875" style="89" customWidth="1"/>
    <col min="4" max="4" width="9.28515625" style="89" customWidth="1"/>
    <col min="5" max="5" width="2.5703125" style="89" customWidth="1"/>
    <col min="6" max="6" width="15.42578125" style="89" customWidth="1"/>
    <col min="7" max="7" width="3" style="89" customWidth="1"/>
    <col min="8" max="8" width="4.7109375" style="89" customWidth="1"/>
    <col min="9" max="9" width="2.42578125" style="89" customWidth="1"/>
    <col min="10" max="10" width="17" style="89" customWidth="1"/>
    <col min="11" max="11" width="5.85546875" style="89" customWidth="1"/>
    <col min="12" max="12" width="9.28515625" style="89" customWidth="1"/>
    <col min="13" max="13" width="2.5703125" style="89" customWidth="1"/>
    <col min="14" max="14" width="15.42578125" style="89" customWidth="1"/>
    <col min="15" max="15" width="3" style="89" customWidth="1"/>
    <col min="16" max="16384" width="10.28515625" style="89"/>
  </cols>
  <sheetData>
    <row r="1" spans="1:15" ht="16.5" thickBot="1" x14ac:dyDescent="0.3">
      <c r="A1" s="86"/>
      <c r="B1" s="87"/>
      <c r="C1" s="87"/>
      <c r="D1" s="87"/>
      <c r="E1" s="87"/>
      <c r="F1" s="87"/>
      <c r="G1" s="88"/>
      <c r="I1" s="86"/>
      <c r="J1" s="87"/>
      <c r="K1" s="87"/>
      <c r="L1" s="87"/>
      <c r="M1" s="87"/>
      <c r="N1" s="87"/>
      <c r="O1" s="88"/>
    </row>
    <row r="2" spans="1:15" ht="20.25" customHeight="1" thickBot="1" x14ac:dyDescent="0.3">
      <c r="A2" s="90"/>
      <c r="B2" s="506"/>
      <c r="C2" s="504"/>
      <c r="D2" s="505"/>
      <c r="E2" s="106"/>
      <c r="F2" s="105"/>
      <c r="G2" s="91"/>
      <c r="I2" s="90"/>
      <c r="J2" s="503"/>
      <c r="K2" s="504"/>
      <c r="L2" s="505"/>
      <c r="M2" s="106"/>
      <c r="N2" s="105"/>
      <c r="O2" s="91"/>
    </row>
    <row r="3" spans="1:15" ht="9.75" customHeight="1" thickBot="1" x14ac:dyDescent="0.3">
      <c r="A3" s="90"/>
      <c r="B3" s="92"/>
      <c r="C3" s="92"/>
      <c r="D3" s="92"/>
      <c r="E3" s="92"/>
      <c r="F3" s="93"/>
      <c r="G3" s="91"/>
      <c r="I3" s="90"/>
      <c r="J3" s="92"/>
      <c r="K3" s="92"/>
      <c r="L3" s="92"/>
      <c r="M3" s="92"/>
      <c r="N3" s="93"/>
      <c r="O3" s="91"/>
    </row>
    <row r="4" spans="1:15" s="96" customFormat="1" ht="19.5" customHeight="1" thickBot="1" x14ac:dyDescent="0.3">
      <c r="A4" s="94"/>
      <c r="B4" s="499"/>
      <c r="C4" s="496"/>
      <c r="D4" s="496"/>
      <c r="E4" s="497"/>
      <c r="F4" s="104" t="s">
        <v>249</v>
      </c>
      <c r="G4" s="95"/>
      <c r="I4" s="94"/>
      <c r="J4" s="495"/>
      <c r="K4" s="496"/>
      <c r="L4" s="496"/>
      <c r="M4" s="497"/>
      <c r="N4" s="104" t="s">
        <v>250</v>
      </c>
      <c r="O4" s="95"/>
    </row>
    <row r="5" spans="1:15" ht="14.25" customHeight="1" thickBot="1" x14ac:dyDescent="0.3">
      <c r="A5" s="90"/>
      <c r="B5" s="97"/>
      <c r="C5" s="92"/>
      <c r="D5" s="92"/>
      <c r="E5" s="92"/>
      <c r="F5" s="98"/>
      <c r="G5" s="91"/>
      <c r="I5" s="90"/>
      <c r="J5" s="97"/>
      <c r="K5" s="92"/>
      <c r="L5" s="92"/>
      <c r="M5" s="92"/>
      <c r="N5" s="98"/>
      <c r="O5" s="91"/>
    </row>
    <row r="6" spans="1:15" s="117" customFormat="1" ht="30" customHeight="1" thickBot="1" x14ac:dyDescent="0.35">
      <c r="A6" s="113"/>
      <c r="B6" s="500"/>
      <c r="C6" s="501"/>
      <c r="D6" s="502"/>
      <c r="E6" s="114"/>
      <c r="F6" s="115"/>
      <c r="G6" s="116"/>
      <c r="I6" s="113"/>
      <c r="J6" s="500"/>
      <c r="K6" s="501"/>
      <c r="L6" s="502"/>
      <c r="M6" s="114"/>
      <c r="N6" s="115"/>
      <c r="O6" s="116"/>
    </row>
    <row r="7" spans="1:15" ht="16.5" thickBot="1" x14ac:dyDescent="0.3">
      <c r="A7" s="90"/>
      <c r="B7" s="99"/>
      <c r="C7" s="99"/>
      <c r="D7" s="99"/>
      <c r="E7" s="99"/>
      <c r="F7" s="99"/>
      <c r="G7" s="91"/>
      <c r="I7" s="90"/>
      <c r="J7" s="99"/>
      <c r="K7" s="99"/>
      <c r="L7" s="99"/>
      <c r="M7" s="99"/>
      <c r="N7" s="99"/>
      <c r="O7" s="91"/>
    </row>
    <row r="8" spans="1:15" s="117" customFormat="1" ht="30" customHeight="1" thickBot="1" x14ac:dyDescent="0.35">
      <c r="A8" s="113"/>
      <c r="B8" s="500"/>
      <c r="C8" s="501"/>
      <c r="D8" s="502"/>
      <c r="E8" s="114"/>
      <c r="F8" s="115"/>
      <c r="G8" s="116"/>
      <c r="I8" s="113"/>
      <c r="J8" s="500"/>
      <c r="K8" s="501"/>
      <c r="L8" s="502"/>
      <c r="M8" s="114"/>
      <c r="N8" s="115"/>
      <c r="O8" s="116"/>
    </row>
    <row r="9" spans="1:15" ht="12" customHeight="1" x14ac:dyDescent="0.25">
      <c r="A9" s="90"/>
      <c r="B9" s="99"/>
      <c r="C9" s="99"/>
      <c r="D9" s="99"/>
      <c r="E9" s="99"/>
      <c r="F9" s="99"/>
      <c r="G9" s="91"/>
      <c r="I9" s="90"/>
      <c r="J9" s="99"/>
      <c r="K9" s="99"/>
      <c r="L9" s="99"/>
      <c r="M9" s="99"/>
      <c r="N9" s="99"/>
      <c r="O9" s="91"/>
    </row>
    <row r="10" spans="1:15" ht="13.5" customHeight="1" x14ac:dyDescent="0.25">
      <c r="A10" s="90"/>
      <c r="B10" s="498" t="str">
        <f>START!A38</f>
        <v>SCOREKAART - HVC2016</v>
      </c>
      <c r="C10" s="498"/>
      <c r="D10" s="498"/>
      <c r="E10" s="498"/>
      <c r="F10" s="498"/>
      <c r="G10" s="91"/>
      <c r="I10" s="90"/>
      <c r="J10" s="498" t="str">
        <f>B10</f>
        <v>SCOREKAART - HVC2016</v>
      </c>
      <c r="K10" s="498"/>
      <c r="L10" s="498"/>
      <c r="M10" s="498"/>
      <c r="N10" s="498"/>
      <c r="O10" s="91"/>
    </row>
    <row r="11" spans="1:15" ht="11.25" customHeight="1" thickBot="1" x14ac:dyDescent="0.3">
      <c r="A11" s="101"/>
      <c r="B11" s="102"/>
      <c r="C11" s="102"/>
      <c r="D11" s="102"/>
      <c r="E11" s="102"/>
      <c r="F11" s="102"/>
      <c r="G11" s="103"/>
      <c r="I11" s="101"/>
      <c r="J11" s="102"/>
      <c r="K11" s="102"/>
      <c r="L11" s="102"/>
      <c r="M11" s="102"/>
      <c r="N11" s="102"/>
      <c r="O11" s="103"/>
    </row>
    <row r="12" spans="1:15" ht="13.5" customHeight="1" thickBot="1" x14ac:dyDescent="0.3">
      <c r="A12" s="99"/>
      <c r="B12" s="99"/>
      <c r="C12" s="99"/>
      <c r="D12" s="99"/>
      <c r="E12" s="99"/>
      <c r="F12" s="99"/>
      <c r="G12" s="99"/>
      <c r="I12" s="99"/>
      <c r="J12" s="99"/>
      <c r="K12" s="99"/>
      <c r="L12" s="99"/>
      <c r="M12" s="99"/>
      <c r="N12" s="99"/>
      <c r="O12" s="99"/>
    </row>
    <row r="13" spans="1:15" ht="16.5" thickBot="1" x14ac:dyDescent="0.3">
      <c r="A13" s="86"/>
      <c r="B13" s="87"/>
      <c r="C13" s="87"/>
      <c r="D13" s="87"/>
      <c r="E13" s="87"/>
      <c r="F13" s="87"/>
      <c r="G13" s="88"/>
      <c r="I13" s="86"/>
      <c r="J13" s="87"/>
      <c r="K13" s="87"/>
      <c r="L13" s="87"/>
      <c r="M13" s="87"/>
      <c r="N13" s="87"/>
      <c r="O13" s="88"/>
    </row>
    <row r="14" spans="1:15" ht="20.100000000000001" customHeight="1" thickBot="1" x14ac:dyDescent="0.3">
      <c r="A14" s="90"/>
      <c r="B14" s="503"/>
      <c r="C14" s="504"/>
      <c r="D14" s="505"/>
      <c r="E14" s="106"/>
      <c r="F14" s="105"/>
      <c r="G14" s="91"/>
      <c r="I14" s="90"/>
      <c r="J14" s="503"/>
      <c r="K14" s="504"/>
      <c r="L14" s="505"/>
      <c r="M14" s="106"/>
      <c r="N14" s="105"/>
      <c r="O14" s="91"/>
    </row>
    <row r="15" spans="1:15" ht="9.75" customHeight="1" thickBot="1" x14ac:dyDescent="0.3">
      <c r="A15" s="90"/>
      <c r="B15" s="92"/>
      <c r="C15" s="92"/>
      <c r="D15" s="92"/>
      <c r="E15" s="92"/>
      <c r="F15" s="93"/>
      <c r="G15" s="91"/>
      <c r="I15" s="90"/>
      <c r="J15" s="92"/>
      <c r="K15" s="92"/>
      <c r="L15" s="92"/>
      <c r="M15" s="92"/>
      <c r="N15" s="93"/>
      <c r="O15" s="91"/>
    </row>
    <row r="16" spans="1:15" ht="20.100000000000001" customHeight="1" thickBot="1" x14ac:dyDescent="0.3">
      <c r="A16" s="94"/>
      <c r="B16" s="495"/>
      <c r="C16" s="496"/>
      <c r="D16" s="496"/>
      <c r="E16" s="497"/>
      <c r="F16" s="104" t="s">
        <v>251</v>
      </c>
      <c r="G16" s="95"/>
      <c r="H16" s="96"/>
      <c r="I16" s="94"/>
      <c r="J16" s="495"/>
      <c r="K16" s="496"/>
      <c r="L16" s="496"/>
      <c r="M16" s="497"/>
      <c r="N16" s="104" t="s">
        <v>252</v>
      </c>
      <c r="O16" s="95"/>
    </row>
    <row r="17" spans="1:15" ht="13.5" customHeight="1" thickBot="1" x14ac:dyDescent="0.3">
      <c r="A17" s="90"/>
      <c r="B17" s="97"/>
      <c r="C17" s="92"/>
      <c r="D17" s="92"/>
      <c r="E17" s="92"/>
      <c r="F17" s="98"/>
      <c r="G17" s="91"/>
      <c r="I17" s="90"/>
      <c r="J17" s="97"/>
      <c r="K17" s="92"/>
      <c r="L17" s="92"/>
      <c r="M17" s="92"/>
      <c r="N17" s="98"/>
      <c r="O17" s="91"/>
    </row>
    <row r="18" spans="1:15" s="117" customFormat="1" ht="30" customHeight="1" thickBot="1" x14ac:dyDescent="0.35">
      <c r="A18" s="113"/>
      <c r="B18" s="500"/>
      <c r="C18" s="501"/>
      <c r="D18" s="502"/>
      <c r="E18" s="114"/>
      <c r="F18" s="115"/>
      <c r="G18" s="116"/>
      <c r="I18" s="113"/>
      <c r="J18" s="500"/>
      <c r="K18" s="501"/>
      <c r="L18" s="502"/>
      <c r="M18" s="114"/>
      <c r="N18" s="115"/>
      <c r="O18" s="116"/>
    </row>
    <row r="19" spans="1:15" ht="16.5" thickBot="1" x14ac:dyDescent="0.3">
      <c r="A19" s="90"/>
      <c r="B19" s="99"/>
      <c r="C19" s="99"/>
      <c r="D19" s="99"/>
      <c r="E19" s="99"/>
      <c r="F19" s="99"/>
      <c r="G19" s="91"/>
      <c r="I19" s="90"/>
      <c r="J19" s="99"/>
      <c r="K19" s="99"/>
      <c r="L19" s="99"/>
      <c r="M19" s="99"/>
      <c r="N19" s="99"/>
      <c r="O19" s="91"/>
    </row>
    <row r="20" spans="1:15" s="117" customFormat="1" ht="30" customHeight="1" thickBot="1" x14ac:dyDescent="0.35">
      <c r="A20" s="113"/>
      <c r="B20" s="500"/>
      <c r="C20" s="501"/>
      <c r="D20" s="502"/>
      <c r="E20" s="114"/>
      <c r="F20" s="115"/>
      <c r="G20" s="116"/>
      <c r="I20" s="113"/>
      <c r="J20" s="500"/>
      <c r="K20" s="501"/>
      <c r="L20" s="502"/>
      <c r="M20" s="114"/>
      <c r="N20" s="115"/>
      <c r="O20" s="116"/>
    </row>
    <row r="21" spans="1:15" ht="12" customHeight="1" x14ac:dyDescent="0.25">
      <c r="A21" s="90"/>
      <c r="B21" s="99"/>
      <c r="C21" s="99"/>
      <c r="D21" s="99"/>
      <c r="E21" s="99"/>
      <c r="F21" s="99"/>
      <c r="G21" s="91"/>
      <c r="I21" s="90"/>
      <c r="J21" s="99"/>
      <c r="K21" s="99"/>
      <c r="L21" s="99"/>
      <c r="M21" s="99"/>
      <c r="N21" s="99"/>
      <c r="O21" s="91"/>
    </row>
    <row r="22" spans="1:15" ht="13.5" customHeight="1" x14ac:dyDescent="0.25">
      <c r="A22" s="90"/>
      <c r="B22" s="498" t="str">
        <f>B10</f>
        <v>SCOREKAART - HVC2016</v>
      </c>
      <c r="C22" s="498"/>
      <c r="D22" s="498"/>
      <c r="E22" s="498"/>
      <c r="F22" s="498"/>
      <c r="G22" s="91"/>
      <c r="I22" s="90"/>
      <c r="J22" s="498" t="str">
        <f>B10</f>
        <v>SCOREKAART - HVC2016</v>
      </c>
      <c r="K22" s="498"/>
      <c r="L22" s="498"/>
      <c r="M22" s="498"/>
      <c r="N22" s="498"/>
      <c r="O22" s="91"/>
    </row>
    <row r="23" spans="1:15" ht="11.25" customHeight="1" thickBot="1" x14ac:dyDescent="0.3">
      <c r="A23" s="101"/>
      <c r="B23" s="102"/>
      <c r="C23" s="102"/>
      <c r="D23" s="102"/>
      <c r="E23" s="102"/>
      <c r="F23" s="102"/>
      <c r="G23" s="103"/>
      <c r="I23" s="101"/>
      <c r="J23" s="102"/>
      <c r="K23" s="102"/>
      <c r="L23" s="102"/>
      <c r="M23" s="102"/>
      <c r="N23" s="102"/>
      <c r="O23" s="103"/>
    </row>
    <row r="24" spans="1:15" ht="14.1" customHeight="1" thickBot="1" x14ac:dyDescent="0.3">
      <c r="A24" s="107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107"/>
    </row>
    <row r="25" spans="1:15" ht="16.5" customHeight="1" thickBot="1" x14ac:dyDescent="0.3">
      <c r="A25" s="86"/>
      <c r="B25" s="87"/>
      <c r="C25" s="87"/>
      <c r="D25" s="87"/>
      <c r="E25" s="87"/>
      <c r="F25" s="87"/>
      <c r="G25" s="88"/>
      <c r="I25" s="86"/>
      <c r="J25" s="87"/>
      <c r="K25" s="87"/>
      <c r="L25" s="87"/>
      <c r="M25" s="87"/>
      <c r="N25" s="87"/>
      <c r="O25" s="88"/>
    </row>
    <row r="26" spans="1:15" ht="20.100000000000001" customHeight="1" thickBot="1" x14ac:dyDescent="0.3">
      <c r="A26" s="90"/>
      <c r="B26" s="503"/>
      <c r="C26" s="504"/>
      <c r="D26" s="505"/>
      <c r="E26" s="106"/>
      <c r="F26" s="105"/>
      <c r="G26" s="91"/>
      <c r="I26" s="90"/>
      <c r="J26" s="503"/>
      <c r="K26" s="504"/>
      <c r="L26" s="505"/>
      <c r="M26" s="106"/>
      <c r="N26" s="105"/>
      <c r="O26" s="91"/>
    </row>
    <row r="27" spans="1:15" ht="13.5" customHeight="1" thickBot="1" x14ac:dyDescent="0.3">
      <c r="A27" s="90"/>
      <c r="B27" s="92"/>
      <c r="C27" s="92"/>
      <c r="D27" s="92"/>
      <c r="E27" s="92"/>
      <c r="F27" s="93"/>
      <c r="G27" s="91"/>
      <c r="I27" s="90"/>
      <c r="J27" s="92"/>
      <c r="K27" s="92"/>
      <c r="L27" s="92"/>
      <c r="M27" s="92"/>
      <c r="N27" s="93"/>
      <c r="O27" s="91"/>
    </row>
    <row r="28" spans="1:15" ht="20.100000000000001" customHeight="1" thickBot="1" x14ac:dyDescent="0.3">
      <c r="A28" s="94"/>
      <c r="B28" s="495"/>
      <c r="C28" s="496"/>
      <c r="D28" s="496"/>
      <c r="E28" s="497"/>
      <c r="F28" s="104" t="s">
        <v>253</v>
      </c>
      <c r="G28" s="95"/>
      <c r="H28" s="96"/>
      <c r="I28" s="94"/>
      <c r="J28" s="495"/>
      <c r="K28" s="496"/>
      <c r="L28" s="496"/>
      <c r="M28" s="497"/>
      <c r="N28" s="104" t="s">
        <v>254</v>
      </c>
      <c r="O28" s="95"/>
    </row>
    <row r="29" spans="1:15" ht="13.5" customHeight="1" thickBot="1" x14ac:dyDescent="0.3">
      <c r="A29" s="90"/>
      <c r="B29" s="97"/>
      <c r="C29" s="92"/>
      <c r="D29" s="92"/>
      <c r="E29" s="92"/>
      <c r="F29" s="98"/>
      <c r="G29" s="91"/>
      <c r="I29" s="90"/>
      <c r="J29" s="97"/>
      <c r="K29" s="92"/>
      <c r="L29" s="92"/>
      <c r="M29" s="92"/>
      <c r="N29" s="98"/>
      <c r="O29" s="91"/>
    </row>
    <row r="30" spans="1:15" s="117" customFormat="1" ht="30" customHeight="1" thickBot="1" x14ac:dyDescent="0.35">
      <c r="A30" s="113"/>
      <c r="B30" s="500"/>
      <c r="C30" s="501"/>
      <c r="D30" s="502"/>
      <c r="E30" s="114"/>
      <c r="F30" s="115"/>
      <c r="G30" s="116"/>
      <c r="I30" s="113"/>
      <c r="J30" s="500"/>
      <c r="K30" s="501"/>
      <c r="L30" s="502"/>
      <c r="M30" s="114"/>
      <c r="N30" s="115"/>
      <c r="O30" s="116"/>
    </row>
    <row r="31" spans="1:15" ht="16.5" thickBot="1" x14ac:dyDescent="0.3">
      <c r="A31" s="90"/>
      <c r="B31" s="99"/>
      <c r="C31" s="99"/>
      <c r="D31" s="99"/>
      <c r="E31" s="99"/>
      <c r="F31" s="99"/>
      <c r="G31" s="91"/>
      <c r="I31" s="90"/>
      <c r="J31" s="99"/>
      <c r="K31" s="99"/>
      <c r="L31" s="99"/>
      <c r="M31" s="99"/>
      <c r="N31" s="99"/>
      <c r="O31" s="91"/>
    </row>
    <row r="32" spans="1:15" s="117" customFormat="1" ht="30" customHeight="1" thickBot="1" x14ac:dyDescent="0.35">
      <c r="A32" s="113"/>
      <c r="B32" s="500"/>
      <c r="C32" s="501"/>
      <c r="D32" s="502"/>
      <c r="E32" s="114"/>
      <c r="F32" s="115"/>
      <c r="G32" s="116"/>
      <c r="I32" s="113"/>
      <c r="J32" s="500"/>
      <c r="K32" s="501"/>
      <c r="L32" s="502"/>
      <c r="M32" s="114"/>
      <c r="N32" s="115"/>
      <c r="O32" s="116"/>
    </row>
    <row r="33" spans="1:15" ht="12" customHeight="1" x14ac:dyDescent="0.25">
      <c r="A33" s="90"/>
      <c r="B33" s="99"/>
      <c r="C33" s="99"/>
      <c r="D33" s="99"/>
      <c r="E33" s="99"/>
      <c r="F33" s="99"/>
      <c r="G33" s="91"/>
      <c r="I33" s="90"/>
      <c r="J33" s="99"/>
      <c r="K33" s="99"/>
      <c r="L33" s="99"/>
      <c r="M33" s="99"/>
      <c r="N33" s="99"/>
      <c r="O33" s="91"/>
    </row>
    <row r="34" spans="1:15" ht="13.5" customHeight="1" x14ac:dyDescent="0.25">
      <c r="A34" s="90"/>
      <c r="B34" s="498" t="str">
        <f>B10</f>
        <v>SCOREKAART - HVC2016</v>
      </c>
      <c r="C34" s="498"/>
      <c r="D34" s="498"/>
      <c r="E34" s="498"/>
      <c r="F34" s="498"/>
      <c r="G34" s="91"/>
      <c r="I34" s="90"/>
      <c r="J34" s="498" t="str">
        <f>B10</f>
        <v>SCOREKAART - HVC2016</v>
      </c>
      <c r="K34" s="498"/>
      <c r="L34" s="498"/>
      <c r="M34" s="498"/>
      <c r="N34" s="498"/>
      <c r="O34" s="91"/>
    </row>
    <row r="35" spans="1:15" ht="12" customHeight="1" thickBot="1" x14ac:dyDescent="0.3">
      <c r="A35" s="101"/>
      <c r="B35" s="102"/>
      <c r="C35" s="102"/>
      <c r="D35" s="102"/>
      <c r="E35" s="102"/>
      <c r="F35" s="102"/>
      <c r="G35" s="103"/>
      <c r="I35" s="101"/>
      <c r="J35" s="102"/>
      <c r="K35" s="102"/>
      <c r="L35" s="102"/>
      <c r="M35" s="102"/>
      <c r="N35" s="102"/>
      <c r="O35" s="103"/>
    </row>
    <row r="36" spans="1:15" ht="14.1" customHeight="1" thickBot="1" x14ac:dyDescent="0.3">
      <c r="A36" s="107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7"/>
    </row>
    <row r="37" spans="1:15" ht="16.5" thickBot="1" x14ac:dyDescent="0.3">
      <c r="A37" s="86"/>
      <c r="B37" s="87"/>
      <c r="C37" s="87"/>
      <c r="D37" s="87"/>
      <c r="E37" s="87"/>
      <c r="F37" s="87"/>
      <c r="G37" s="88"/>
      <c r="I37" s="86"/>
      <c r="J37" s="87"/>
      <c r="K37" s="87"/>
      <c r="L37" s="87"/>
      <c r="M37" s="87"/>
      <c r="N37" s="87"/>
      <c r="O37" s="88"/>
    </row>
    <row r="38" spans="1:15" ht="20.100000000000001" customHeight="1" thickBot="1" x14ac:dyDescent="0.3">
      <c r="A38" s="90"/>
      <c r="B38" s="503">
        <f>B2</f>
        <v>0</v>
      </c>
      <c r="C38" s="504"/>
      <c r="D38" s="505"/>
      <c r="E38" s="106"/>
      <c r="F38" s="136" t="s">
        <v>23</v>
      </c>
      <c r="G38" s="91"/>
      <c r="I38" s="90"/>
      <c r="J38" s="503">
        <f>B2</f>
        <v>0</v>
      </c>
      <c r="K38" s="504"/>
      <c r="L38" s="505"/>
      <c r="M38" s="106"/>
      <c r="N38" s="105" t="str">
        <f>F38</f>
        <v>RONDE 2</v>
      </c>
      <c r="O38" s="91"/>
    </row>
    <row r="39" spans="1:15" ht="13.5" customHeight="1" thickBot="1" x14ac:dyDescent="0.3">
      <c r="A39" s="90"/>
      <c r="B39" s="92"/>
      <c r="C39" s="92"/>
      <c r="D39" s="92"/>
      <c r="E39" s="92"/>
      <c r="F39" s="93"/>
      <c r="G39" s="91"/>
      <c r="I39" s="90"/>
      <c r="J39" s="92"/>
      <c r="K39" s="92"/>
      <c r="L39" s="92"/>
      <c r="M39" s="92"/>
      <c r="N39" s="93"/>
      <c r="O39" s="91"/>
    </row>
    <row r="40" spans="1:15" ht="20.100000000000001" customHeight="1" thickBot="1" x14ac:dyDescent="0.3">
      <c r="A40" s="94"/>
      <c r="B40" s="499" t="str">
        <f>START!B3</f>
        <v>10:45 - 11:00 uur</v>
      </c>
      <c r="C40" s="496"/>
      <c r="D40" s="496"/>
      <c r="E40" s="497"/>
      <c r="F40" s="104" t="s">
        <v>249</v>
      </c>
      <c r="G40" s="95"/>
      <c r="H40" s="96"/>
      <c r="I40" s="94"/>
      <c r="J40" s="499" t="str">
        <f>B40</f>
        <v>10:45 - 11:00 uur</v>
      </c>
      <c r="K40" s="496"/>
      <c r="L40" s="496"/>
      <c r="M40" s="497"/>
      <c r="N40" s="104" t="s">
        <v>250</v>
      </c>
      <c r="O40" s="95"/>
    </row>
    <row r="41" spans="1:15" ht="13.5" customHeight="1" thickBot="1" x14ac:dyDescent="0.3">
      <c r="A41" s="90"/>
      <c r="B41" s="97"/>
      <c r="C41" s="92"/>
      <c r="D41" s="92"/>
      <c r="E41" s="92"/>
      <c r="F41" s="98"/>
      <c r="G41" s="91"/>
      <c r="I41" s="90"/>
      <c r="J41" s="97"/>
      <c r="K41" s="92"/>
      <c r="L41" s="92"/>
      <c r="M41" s="92"/>
      <c r="N41" s="98"/>
      <c r="O41" s="91"/>
    </row>
    <row r="42" spans="1:15" s="117" customFormat="1" ht="30" customHeight="1" thickBot="1" x14ac:dyDescent="0.35">
      <c r="A42" s="113"/>
      <c r="B42" s="500" t="str">
        <f>KWALIFICATIE!E36</f>
        <v>IAMB&amp;B</v>
      </c>
      <c r="C42" s="501"/>
      <c r="D42" s="502"/>
      <c r="E42" s="114"/>
      <c r="F42" s="115"/>
      <c r="G42" s="116"/>
      <c r="I42" s="113"/>
      <c r="J42" s="500" t="str">
        <f>KWALIFICATIE!E37</f>
        <v>Veddetero's klunzen</v>
      </c>
      <c r="K42" s="501"/>
      <c r="L42" s="502"/>
      <c r="M42" s="114"/>
      <c r="N42" s="115"/>
      <c r="O42" s="116"/>
    </row>
    <row r="43" spans="1:15" ht="16.5" thickBot="1" x14ac:dyDescent="0.3">
      <c r="A43" s="90"/>
      <c r="B43" s="99"/>
      <c r="C43" s="99"/>
      <c r="D43" s="99"/>
      <c r="E43" s="99"/>
      <c r="F43" s="99"/>
      <c r="G43" s="91"/>
      <c r="I43" s="90"/>
      <c r="J43" s="99"/>
      <c r="K43" s="99"/>
      <c r="L43" s="99"/>
      <c r="M43" s="99"/>
      <c r="N43" s="99"/>
      <c r="O43" s="91"/>
    </row>
    <row r="44" spans="1:15" s="117" customFormat="1" ht="30" customHeight="1" thickBot="1" x14ac:dyDescent="0.35">
      <c r="A44" s="113"/>
      <c r="B44" s="500" t="str">
        <f>KWALIFICATIE!J36</f>
        <v>FC Papa</v>
      </c>
      <c r="C44" s="501"/>
      <c r="D44" s="502"/>
      <c r="E44" s="114"/>
      <c r="F44" s="115"/>
      <c r="G44" s="116"/>
      <c r="I44" s="113"/>
      <c r="J44" s="500" t="str">
        <f>KWALIFICATIE!J37</f>
        <v>FC EPERNAY</v>
      </c>
      <c r="K44" s="501"/>
      <c r="L44" s="502"/>
      <c r="M44" s="114"/>
      <c r="N44" s="115"/>
      <c r="O44" s="116"/>
    </row>
    <row r="45" spans="1:15" ht="12" customHeight="1" x14ac:dyDescent="0.25">
      <c r="A45" s="90"/>
      <c r="B45" s="99"/>
      <c r="C45" s="99"/>
      <c r="D45" s="99"/>
      <c r="E45" s="99"/>
      <c r="F45" s="99"/>
      <c r="G45" s="91"/>
      <c r="I45" s="90"/>
      <c r="J45" s="99"/>
      <c r="K45" s="99"/>
      <c r="L45" s="99"/>
      <c r="M45" s="99"/>
      <c r="N45" s="99"/>
      <c r="O45" s="91"/>
    </row>
    <row r="46" spans="1:15" ht="13.5" customHeight="1" x14ac:dyDescent="0.25">
      <c r="A46" s="90"/>
      <c r="B46" s="498" t="str">
        <f>B10</f>
        <v>SCOREKAART - HVC2016</v>
      </c>
      <c r="C46" s="498"/>
      <c r="D46" s="498"/>
      <c r="E46" s="498"/>
      <c r="F46" s="498"/>
      <c r="G46" s="91"/>
      <c r="I46" s="90"/>
      <c r="J46" s="498" t="str">
        <f>B10</f>
        <v>SCOREKAART - HVC2016</v>
      </c>
      <c r="K46" s="498"/>
      <c r="L46" s="498"/>
      <c r="M46" s="498"/>
      <c r="N46" s="498"/>
      <c r="O46" s="91"/>
    </row>
    <row r="47" spans="1:15" ht="12" customHeight="1" thickBot="1" x14ac:dyDescent="0.3">
      <c r="A47" s="101"/>
      <c r="B47" s="102"/>
      <c r="C47" s="102"/>
      <c r="D47" s="102"/>
      <c r="E47" s="102"/>
      <c r="F47" s="102"/>
      <c r="G47" s="103"/>
      <c r="I47" s="101"/>
      <c r="J47" s="102"/>
      <c r="K47" s="102"/>
      <c r="L47" s="102"/>
      <c r="M47" s="102"/>
      <c r="N47" s="102"/>
      <c r="O47" s="103"/>
    </row>
    <row r="48" spans="1:15" ht="12" customHeight="1" thickBot="1" x14ac:dyDescent="0.3">
      <c r="A48" s="90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1"/>
    </row>
    <row r="49" spans="1:15" ht="16.5" thickBot="1" x14ac:dyDescent="0.3">
      <c r="A49" s="86"/>
      <c r="B49" s="87"/>
      <c r="C49" s="87"/>
      <c r="D49" s="87"/>
      <c r="E49" s="87"/>
      <c r="F49" s="87"/>
      <c r="G49" s="88"/>
      <c r="I49" s="86"/>
      <c r="J49" s="87"/>
      <c r="K49" s="87"/>
      <c r="L49" s="87"/>
      <c r="M49" s="87"/>
      <c r="N49" s="87"/>
      <c r="O49" s="88"/>
    </row>
    <row r="50" spans="1:15" ht="20.25" customHeight="1" thickBot="1" x14ac:dyDescent="0.3">
      <c r="A50" s="90"/>
      <c r="B50" s="506" t="str">
        <f>START!D3</f>
        <v>KWALIFICATIE</v>
      </c>
      <c r="C50" s="504"/>
      <c r="D50" s="505"/>
      <c r="E50" s="106"/>
      <c r="F50" s="105" t="s">
        <v>23</v>
      </c>
      <c r="G50" s="91"/>
      <c r="I50" s="90"/>
      <c r="J50" s="503" t="str">
        <f>B50</f>
        <v>KWALIFICATIE</v>
      </c>
      <c r="K50" s="504"/>
      <c r="L50" s="505"/>
      <c r="M50" s="106"/>
      <c r="N50" s="105" t="str">
        <f>F50</f>
        <v>RONDE 2</v>
      </c>
      <c r="O50" s="91"/>
    </row>
    <row r="51" spans="1:15" ht="9.75" customHeight="1" thickBot="1" x14ac:dyDescent="0.3">
      <c r="A51" s="90"/>
      <c r="B51" s="92"/>
      <c r="C51" s="92"/>
      <c r="D51" s="92"/>
      <c r="E51" s="92"/>
      <c r="F51" s="93"/>
      <c r="G51" s="91"/>
      <c r="I51" s="90"/>
      <c r="J51" s="92"/>
      <c r="K51" s="92"/>
      <c r="L51" s="92"/>
      <c r="M51" s="92"/>
      <c r="N51" s="93"/>
      <c r="O51" s="91"/>
    </row>
    <row r="52" spans="1:15" s="96" customFormat="1" ht="19.5" customHeight="1" thickBot="1" x14ac:dyDescent="0.3">
      <c r="A52" s="94"/>
      <c r="B52" s="499" t="str">
        <f>B40</f>
        <v>10:45 - 11:00 uur</v>
      </c>
      <c r="C52" s="496"/>
      <c r="D52" s="496"/>
      <c r="E52" s="497"/>
      <c r="F52" s="104" t="s">
        <v>251</v>
      </c>
      <c r="G52" s="95"/>
      <c r="I52" s="94"/>
      <c r="J52" s="499" t="str">
        <f>B40</f>
        <v>10:45 - 11:00 uur</v>
      </c>
      <c r="K52" s="496"/>
      <c r="L52" s="496"/>
      <c r="M52" s="497"/>
      <c r="N52" s="104" t="s">
        <v>252</v>
      </c>
      <c r="O52" s="95"/>
    </row>
    <row r="53" spans="1:15" ht="14.25" customHeight="1" thickBot="1" x14ac:dyDescent="0.3">
      <c r="A53" s="90"/>
      <c r="B53" s="97"/>
      <c r="C53" s="92"/>
      <c r="D53" s="92"/>
      <c r="E53" s="92"/>
      <c r="F53" s="98"/>
      <c r="G53" s="91"/>
      <c r="I53" s="90"/>
      <c r="J53" s="97"/>
      <c r="K53" s="92"/>
      <c r="L53" s="92"/>
      <c r="M53" s="92"/>
      <c r="N53" s="98"/>
      <c r="O53" s="91"/>
    </row>
    <row r="54" spans="1:15" ht="30" customHeight="1" thickBot="1" x14ac:dyDescent="0.35">
      <c r="A54" s="90"/>
      <c r="B54" s="500" t="str">
        <f>KWALIFICATIE!E38</f>
        <v>Carte blanche</v>
      </c>
      <c r="C54" s="501"/>
      <c r="D54" s="502"/>
      <c r="E54" s="99"/>
      <c r="F54" s="100"/>
      <c r="G54" s="91"/>
      <c r="I54" s="90"/>
      <c r="J54" s="500" t="str">
        <f>KWALIFICATIE!E39</f>
        <v>Monnie Represent</v>
      </c>
      <c r="K54" s="501"/>
      <c r="L54" s="502"/>
      <c r="M54" s="99"/>
      <c r="N54" s="100"/>
      <c r="O54" s="91"/>
    </row>
    <row r="55" spans="1:15" ht="16.5" thickBot="1" x14ac:dyDescent="0.3">
      <c r="A55" s="90"/>
      <c r="B55" s="99"/>
      <c r="C55" s="99"/>
      <c r="D55" s="99"/>
      <c r="E55" s="99"/>
      <c r="F55" s="99"/>
      <c r="G55" s="91"/>
      <c r="I55" s="90"/>
      <c r="J55" s="99"/>
      <c r="K55" s="99"/>
      <c r="L55" s="99"/>
      <c r="M55" s="99"/>
      <c r="N55" s="99"/>
      <c r="O55" s="91"/>
    </row>
    <row r="56" spans="1:15" ht="30" customHeight="1" thickBot="1" x14ac:dyDescent="0.35">
      <c r="A56" s="90"/>
      <c r="B56" s="500" t="str">
        <f>KWALIFICATIE!J38</f>
        <v>MAN ON F.C</v>
      </c>
      <c r="C56" s="501"/>
      <c r="D56" s="502"/>
      <c r="E56" s="99"/>
      <c r="F56" s="100"/>
      <c r="G56" s="91"/>
      <c r="I56" s="90"/>
      <c r="J56" s="500" t="str">
        <f>KWALIFICATIE!J39</f>
        <v>IRRIDUCIBILI</v>
      </c>
      <c r="K56" s="501"/>
      <c r="L56" s="502"/>
      <c r="M56" s="99"/>
      <c r="N56" s="100"/>
      <c r="O56" s="91"/>
    </row>
    <row r="57" spans="1:15" ht="12" customHeight="1" x14ac:dyDescent="0.25">
      <c r="A57" s="90"/>
      <c r="B57" s="99"/>
      <c r="C57" s="99"/>
      <c r="D57" s="99"/>
      <c r="E57" s="99"/>
      <c r="F57" s="99"/>
      <c r="G57" s="91"/>
      <c r="I57" s="90"/>
      <c r="J57" s="99"/>
      <c r="K57" s="99"/>
      <c r="L57" s="99"/>
      <c r="M57" s="99"/>
      <c r="N57" s="99"/>
      <c r="O57" s="91"/>
    </row>
    <row r="58" spans="1:15" ht="13.5" customHeight="1" x14ac:dyDescent="0.25">
      <c r="A58" s="90"/>
      <c r="B58" s="498" t="str">
        <f>START!A38</f>
        <v>SCOREKAART - HVC2016</v>
      </c>
      <c r="C58" s="498"/>
      <c r="D58" s="498"/>
      <c r="E58" s="498"/>
      <c r="F58" s="498"/>
      <c r="G58" s="91"/>
      <c r="I58" s="90"/>
      <c r="J58" s="498" t="str">
        <f>B58</f>
        <v>SCOREKAART - HVC2016</v>
      </c>
      <c r="K58" s="498"/>
      <c r="L58" s="498"/>
      <c r="M58" s="498"/>
      <c r="N58" s="498"/>
      <c r="O58" s="91"/>
    </row>
    <row r="59" spans="1:15" ht="11.25" customHeight="1" thickBot="1" x14ac:dyDescent="0.3">
      <c r="A59" s="101"/>
      <c r="B59" s="102"/>
      <c r="C59" s="102"/>
      <c r="D59" s="102"/>
      <c r="E59" s="102"/>
      <c r="F59" s="102"/>
      <c r="G59" s="103"/>
      <c r="I59" s="101"/>
      <c r="J59" s="102"/>
      <c r="K59" s="102"/>
      <c r="L59" s="102"/>
      <c r="M59" s="102"/>
      <c r="N59" s="102"/>
      <c r="O59" s="103"/>
    </row>
    <row r="60" spans="1:15" ht="13.5" customHeight="1" thickBot="1" x14ac:dyDescent="0.3">
      <c r="A60" s="99"/>
      <c r="B60" s="99"/>
      <c r="C60" s="99"/>
      <c r="D60" s="99"/>
      <c r="E60" s="99"/>
      <c r="F60" s="99"/>
      <c r="G60" s="99"/>
      <c r="I60" s="99"/>
      <c r="J60" s="99"/>
      <c r="K60" s="99"/>
      <c r="L60" s="99"/>
      <c r="M60" s="99"/>
      <c r="N60" s="99"/>
      <c r="O60" s="99"/>
    </row>
    <row r="61" spans="1:15" ht="16.5" thickBot="1" x14ac:dyDescent="0.3">
      <c r="A61" s="86"/>
      <c r="B61" s="87"/>
      <c r="C61" s="87"/>
      <c r="D61" s="87"/>
      <c r="E61" s="87"/>
      <c r="F61" s="87"/>
      <c r="G61" s="88"/>
      <c r="I61" s="86"/>
      <c r="J61" s="87"/>
      <c r="K61" s="87"/>
      <c r="L61" s="87"/>
      <c r="M61" s="87"/>
      <c r="N61" s="87"/>
      <c r="O61" s="88"/>
    </row>
    <row r="62" spans="1:15" ht="20.100000000000001" customHeight="1" thickBot="1" x14ac:dyDescent="0.3">
      <c r="A62" s="90"/>
      <c r="B62" s="503" t="str">
        <f>B50</f>
        <v>KWALIFICATIE</v>
      </c>
      <c r="C62" s="504"/>
      <c r="D62" s="505"/>
      <c r="E62" s="106"/>
      <c r="F62" s="105" t="str">
        <f>F50</f>
        <v>RONDE 2</v>
      </c>
      <c r="G62" s="91"/>
      <c r="I62" s="90"/>
      <c r="J62" s="503" t="str">
        <f>B50</f>
        <v>KWALIFICATIE</v>
      </c>
      <c r="K62" s="504"/>
      <c r="L62" s="505"/>
      <c r="M62" s="106"/>
      <c r="N62" s="105" t="str">
        <f>F50</f>
        <v>RONDE 2</v>
      </c>
      <c r="O62" s="91"/>
    </row>
    <row r="63" spans="1:15" ht="9.75" customHeight="1" thickBot="1" x14ac:dyDescent="0.3">
      <c r="A63" s="90"/>
      <c r="B63" s="92"/>
      <c r="C63" s="92"/>
      <c r="D63" s="92"/>
      <c r="E63" s="92"/>
      <c r="F63" s="93"/>
      <c r="G63" s="91"/>
      <c r="I63" s="90"/>
      <c r="J63" s="92"/>
      <c r="K63" s="92"/>
      <c r="L63" s="92"/>
      <c r="M63" s="92"/>
      <c r="N63" s="93"/>
      <c r="O63" s="91"/>
    </row>
    <row r="64" spans="1:15" ht="20.100000000000001" customHeight="1" thickBot="1" x14ac:dyDescent="0.3">
      <c r="A64" s="94"/>
      <c r="B64" s="495" t="str">
        <f>B52</f>
        <v>10:45 - 11:00 uur</v>
      </c>
      <c r="C64" s="496"/>
      <c r="D64" s="496"/>
      <c r="E64" s="497"/>
      <c r="F64" s="104" t="s">
        <v>253</v>
      </c>
      <c r="G64" s="95"/>
      <c r="H64" s="96"/>
      <c r="I64" s="94"/>
      <c r="J64" s="495" t="str">
        <f>B52</f>
        <v>10:45 - 11:00 uur</v>
      </c>
      <c r="K64" s="496"/>
      <c r="L64" s="496"/>
      <c r="M64" s="497"/>
      <c r="N64" s="104" t="s">
        <v>254</v>
      </c>
      <c r="O64" s="95"/>
    </row>
    <row r="65" spans="1:15" ht="13.5" customHeight="1" thickBot="1" x14ac:dyDescent="0.3">
      <c r="A65" s="90"/>
      <c r="B65" s="97"/>
      <c r="C65" s="92"/>
      <c r="D65" s="92"/>
      <c r="E65" s="92"/>
      <c r="F65" s="98"/>
      <c r="G65" s="91"/>
      <c r="I65" s="90"/>
      <c r="J65" s="97"/>
      <c r="K65" s="92"/>
      <c r="L65" s="92"/>
      <c r="M65" s="92"/>
      <c r="N65" s="98"/>
      <c r="O65" s="91"/>
    </row>
    <row r="66" spans="1:15" ht="29.25" customHeight="1" thickBot="1" x14ac:dyDescent="0.35">
      <c r="A66" s="90"/>
      <c r="B66" s="500" t="str">
        <f>KWALIFICATIE!E40</f>
        <v>Scherp Online</v>
      </c>
      <c r="C66" s="501"/>
      <c r="D66" s="502"/>
      <c r="E66" s="99"/>
      <c r="F66" s="100"/>
      <c r="G66" s="91"/>
      <c r="I66" s="90"/>
      <c r="J66" s="500" t="str">
        <f>KWALIFICATIE!E41</f>
        <v>#illuminaticonfirmed</v>
      </c>
      <c r="K66" s="501"/>
      <c r="L66" s="502"/>
      <c r="M66" s="99"/>
      <c r="N66" s="100"/>
      <c r="O66" s="91"/>
    </row>
    <row r="67" spans="1:15" ht="16.5" thickBot="1" x14ac:dyDescent="0.3">
      <c r="A67" s="90"/>
      <c r="B67" s="99"/>
      <c r="C67" s="99"/>
      <c r="D67" s="99"/>
      <c r="E67" s="99"/>
      <c r="F67" s="99"/>
      <c r="G67" s="91"/>
      <c r="I67" s="90"/>
      <c r="J67" s="99"/>
      <c r="K67" s="99"/>
      <c r="L67" s="99"/>
      <c r="M67" s="99"/>
      <c r="N67" s="99"/>
      <c r="O67" s="91"/>
    </row>
    <row r="68" spans="1:15" ht="30" customHeight="1" thickBot="1" x14ac:dyDescent="0.35">
      <c r="A68" s="90"/>
      <c r="B68" s="500" t="str">
        <f>KWALIFICATIE!J40</f>
        <v>Sammi's Sweathearts</v>
      </c>
      <c r="C68" s="501"/>
      <c r="D68" s="502"/>
      <c r="E68" s="99"/>
      <c r="F68" s="100"/>
      <c r="G68" s="91"/>
      <c r="I68" s="90"/>
      <c r="J68" s="500" t="str">
        <f>KWALIFICATIE!J41</f>
        <v>Fred Bacon Zalf-fabriekje</v>
      </c>
      <c r="K68" s="501"/>
      <c r="L68" s="502"/>
      <c r="M68" s="99"/>
      <c r="N68" s="100"/>
      <c r="O68" s="91"/>
    </row>
    <row r="69" spans="1:15" ht="12" customHeight="1" x14ac:dyDescent="0.25">
      <c r="A69" s="90"/>
      <c r="B69" s="99"/>
      <c r="C69" s="99"/>
      <c r="D69" s="99"/>
      <c r="E69" s="99"/>
      <c r="F69" s="99"/>
      <c r="G69" s="91"/>
      <c r="I69" s="90"/>
      <c r="J69" s="99"/>
      <c r="K69" s="99"/>
      <c r="L69" s="99"/>
      <c r="M69" s="99"/>
      <c r="N69" s="99"/>
      <c r="O69" s="91"/>
    </row>
    <row r="70" spans="1:15" ht="13.5" customHeight="1" x14ac:dyDescent="0.25">
      <c r="A70" s="90"/>
      <c r="B70" s="498" t="str">
        <f>B58</f>
        <v>SCOREKAART - HVC2016</v>
      </c>
      <c r="C70" s="498"/>
      <c r="D70" s="498"/>
      <c r="E70" s="498"/>
      <c r="F70" s="498"/>
      <c r="G70" s="91"/>
      <c r="I70" s="90"/>
      <c r="J70" s="498" t="str">
        <f>B58</f>
        <v>SCOREKAART - HVC2016</v>
      </c>
      <c r="K70" s="498"/>
      <c r="L70" s="498"/>
      <c r="M70" s="498"/>
      <c r="N70" s="498"/>
      <c r="O70" s="91"/>
    </row>
    <row r="71" spans="1:15" ht="11.25" customHeight="1" thickBot="1" x14ac:dyDescent="0.3">
      <c r="A71" s="101"/>
      <c r="B71" s="102"/>
      <c r="C71" s="102"/>
      <c r="D71" s="102"/>
      <c r="E71" s="102"/>
      <c r="F71" s="102"/>
      <c r="G71" s="103"/>
      <c r="I71" s="101"/>
      <c r="J71" s="102"/>
      <c r="K71" s="102"/>
      <c r="L71" s="102"/>
      <c r="M71" s="102"/>
      <c r="N71" s="102"/>
      <c r="O71" s="103"/>
    </row>
    <row r="72" spans="1:15" ht="14.1" customHeight="1" thickBot="1" x14ac:dyDescent="0.3">
      <c r="A72" s="107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7"/>
    </row>
    <row r="73" spans="1:15" ht="16.5" customHeight="1" thickBot="1" x14ac:dyDescent="0.3">
      <c r="A73" s="86"/>
      <c r="B73" s="87"/>
      <c r="C73" s="87"/>
      <c r="D73" s="87"/>
      <c r="E73" s="87"/>
      <c r="F73" s="87"/>
      <c r="G73" s="88"/>
      <c r="I73" s="86"/>
      <c r="J73" s="87"/>
      <c r="K73" s="87"/>
      <c r="L73" s="87"/>
      <c r="M73" s="87"/>
      <c r="N73" s="87"/>
      <c r="O73" s="88"/>
    </row>
    <row r="74" spans="1:15" ht="20.100000000000001" customHeight="1" thickBot="1" x14ac:dyDescent="0.3">
      <c r="A74" s="90"/>
      <c r="B74" s="503" t="str">
        <f>B50</f>
        <v>KWALIFICATIE</v>
      </c>
      <c r="C74" s="504"/>
      <c r="D74" s="505"/>
      <c r="E74" s="106"/>
      <c r="F74" s="136" t="s">
        <v>25</v>
      </c>
      <c r="G74" s="91"/>
      <c r="I74" s="90"/>
      <c r="J74" s="503" t="str">
        <f>B50</f>
        <v>KWALIFICATIE</v>
      </c>
      <c r="K74" s="504"/>
      <c r="L74" s="505"/>
      <c r="M74" s="106"/>
      <c r="N74" s="105" t="str">
        <f>F74</f>
        <v>RONDE 3</v>
      </c>
      <c r="O74" s="91"/>
    </row>
    <row r="75" spans="1:15" ht="13.5" customHeight="1" thickBot="1" x14ac:dyDescent="0.3">
      <c r="A75" s="90"/>
      <c r="B75" s="92"/>
      <c r="C75" s="92"/>
      <c r="D75" s="92"/>
      <c r="E75" s="92"/>
      <c r="F75" s="93"/>
      <c r="G75" s="91"/>
      <c r="I75" s="90"/>
      <c r="J75" s="92"/>
      <c r="K75" s="92"/>
      <c r="L75" s="92"/>
      <c r="M75" s="92"/>
      <c r="N75" s="93"/>
      <c r="O75" s="91"/>
    </row>
    <row r="76" spans="1:15" ht="20.100000000000001" customHeight="1" thickBot="1" x14ac:dyDescent="0.3">
      <c r="A76" s="94"/>
      <c r="B76" s="495" t="str">
        <f>START!B4</f>
        <v>11:00 - 11:15 uur</v>
      </c>
      <c r="C76" s="496"/>
      <c r="D76" s="496"/>
      <c r="E76" s="497"/>
      <c r="F76" s="104" t="s">
        <v>249</v>
      </c>
      <c r="G76" s="95"/>
      <c r="H76" s="96"/>
      <c r="I76" s="94"/>
      <c r="J76" s="495" t="str">
        <f>B76</f>
        <v>11:00 - 11:15 uur</v>
      </c>
      <c r="K76" s="496"/>
      <c r="L76" s="496"/>
      <c r="M76" s="497"/>
      <c r="N76" s="104" t="s">
        <v>250</v>
      </c>
      <c r="O76" s="95"/>
    </row>
    <row r="77" spans="1:15" ht="13.5" customHeight="1" thickBot="1" x14ac:dyDescent="0.3">
      <c r="A77" s="90"/>
      <c r="B77" s="97"/>
      <c r="C77" s="92"/>
      <c r="D77" s="92"/>
      <c r="E77" s="92"/>
      <c r="F77" s="98"/>
      <c r="G77" s="91"/>
      <c r="I77" s="90"/>
      <c r="J77" s="97"/>
      <c r="K77" s="92"/>
      <c r="L77" s="92"/>
      <c r="M77" s="92"/>
      <c r="N77" s="98"/>
      <c r="O77" s="91"/>
    </row>
    <row r="78" spans="1:15" ht="30" customHeight="1" thickBot="1" x14ac:dyDescent="0.35">
      <c r="A78" s="90"/>
      <c r="B78" s="500" t="str">
        <f>KWALIFICATIE!E44</f>
        <v>Correctie veld 4</v>
      </c>
      <c r="C78" s="501"/>
      <c r="D78" s="502"/>
      <c r="E78" s="99"/>
      <c r="F78" s="100"/>
      <c r="G78" s="91"/>
      <c r="I78" s="90"/>
      <c r="J78" s="500" t="str">
        <f>KWALIFICATIE!E45</f>
        <v>Patti don't shout @ me</v>
      </c>
      <c r="K78" s="501"/>
      <c r="L78" s="502"/>
      <c r="M78" s="99"/>
      <c r="N78" s="100"/>
      <c r="O78" s="91"/>
    </row>
    <row r="79" spans="1:15" ht="16.5" thickBot="1" x14ac:dyDescent="0.3">
      <c r="A79" s="90"/>
      <c r="B79" s="99"/>
      <c r="C79" s="99"/>
      <c r="D79" s="99"/>
      <c r="E79" s="99"/>
      <c r="F79" s="99"/>
      <c r="G79" s="91"/>
      <c r="I79" s="90"/>
      <c r="J79" s="99"/>
      <c r="K79" s="99"/>
      <c r="L79" s="99"/>
      <c r="M79" s="99"/>
      <c r="N79" s="99"/>
      <c r="O79" s="91"/>
    </row>
    <row r="80" spans="1:15" ht="30" customHeight="1" thickBot="1" x14ac:dyDescent="0.35">
      <c r="A80" s="90"/>
      <c r="B80" s="500" t="str">
        <f>KWALIFICATIE!J44</f>
        <v>Combiwel</v>
      </c>
      <c r="C80" s="501"/>
      <c r="D80" s="502"/>
      <c r="E80" s="99"/>
      <c r="F80" s="100"/>
      <c r="G80" s="91"/>
      <c r="I80" s="90"/>
      <c r="J80" s="500" t="str">
        <f>KWALIFICATIE!J45</f>
        <v>Swiffie 5</v>
      </c>
      <c r="K80" s="501"/>
      <c r="L80" s="502"/>
      <c r="M80" s="99"/>
      <c r="N80" s="100"/>
      <c r="O80" s="91"/>
    </row>
    <row r="81" spans="1:15" ht="12" customHeight="1" x14ac:dyDescent="0.25">
      <c r="A81" s="90"/>
      <c r="B81" s="99"/>
      <c r="C81" s="99"/>
      <c r="D81" s="99"/>
      <c r="E81" s="99"/>
      <c r="F81" s="99"/>
      <c r="G81" s="91"/>
      <c r="I81" s="90"/>
      <c r="J81" s="99"/>
      <c r="K81" s="99"/>
      <c r="L81" s="99"/>
      <c r="M81" s="99"/>
      <c r="N81" s="99"/>
      <c r="O81" s="91"/>
    </row>
    <row r="82" spans="1:15" ht="13.5" customHeight="1" x14ac:dyDescent="0.25">
      <c r="A82" s="90"/>
      <c r="B82" s="498" t="str">
        <f>B58</f>
        <v>SCOREKAART - HVC2016</v>
      </c>
      <c r="C82" s="498"/>
      <c r="D82" s="498"/>
      <c r="E82" s="498"/>
      <c r="F82" s="498"/>
      <c r="G82" s="91"/>
      <c r="I82" s="90"/>
      <c r="J82" s="498" t="str">
        <f>B58</f>
        <v>SCOREKAART - HVC2016</v>
      </c>
      <c r="K82" s="498"/>
      <c r="L82" s="498"/>
      <c r="M82" s="498"/>
      <c r="N82" s="498"/>
      <c r="O82" s="91"/>
    </row>
    <row r="83" spans="1:15" ht="12" customHeight="1" thickBot="1" x14ac:dyDescent="0.3">
      <c r="A83" s="101"/>
      <c r="B83" s="102"/>
      <c r="C83" s="102"/>
      <c r="D83" s="102"/>
      <c r="E83" s="102"/>
      <c r="F83" s="102"/>
      <c r="G83" s="103"/>
      <c r="I83" s="101"/>
      <c r="J83" s="102"/>
      <c r="K83" s="102"/>
      <c r="L83" s="102"/>
      <c r="M83" s="102"/>
      <c r="N83" s="102"/>
      <c r="O83" s="103"/>
    </row>
    <row r="84" spans="1:15" ht="14.1" customHeight="1" thickBot="1" x14ac:dyDescent="0.3">
      <c r="A84" s="107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107"/>
    </row>
    <row r="85" spans="1:15" ht="16.5" thickBot="1" x14ac:dyDescent="0.3">
      <c r="A85" s="86"/>
      <c r="B85" s="87"/>
      <c r="C85" s="87"/>
      <c r="D85" s="87"/>
      <c r="E85" s="87"/>
      <c r="F85" s="87"/>
      <c r="G85" s="88"/>
      <c r="I85" s="86"/>
      <c r="J85" s="87"/>
      <c r="K85" s="87"/>
      <c r="L85" s="87"/>
      <c r="M85" s="87"/>
      <c r="N85" s="87"/>
      <c r="O85" s="88"/>
    </row>
    <row r="86" spans="1:15" ht="20.100000000000001" customHeight="1" thickBot="1" x14ac:dyDescent="0.3">
      <c r="A86" s="90"/>
      <c r="B86" s="503" t="str">
        <f>B50</f>
        <v>KWALIFICATIE</v>
      </c>
      <c r="C86" s="504"/>
      <c r="D86" s="505"/>
      <c r="E86" s="106"/>
      <c r="F86" s="105" t="str">
        <f>F74</f>
        <v>RONDE 3</v>
      </c>
      <c r="G86" s="91"/>
      <c r="I86" s="90"/>
      <c r="J86" s="503" t="str">
        <f>B50</f>
        <v>KWALIFICATIE</v>
      </c>
      <c r="K86" s="504"/>
      <c r="L86" s="505"/>
      <c r="M86" s="106"/>
      <c r="N86" s="105" t="str">
        <f>F74</f>
        <v>RONDE 3</v>
      </c>
      <c r="O86" s="91"/>
    </row>
    <row r="87" spans="1:15" ht="13.5" customHeight="1" thickBot="1" x14ac:dyDescent="0.3">
      <c r="A87" s="90"/>
      <c r="B87" s="92"/>
      <c r="C87" s="92"/>
      <c r="D87" s="92"/>
      <c r="E87" s="92"/>
      <c r="F87" s="93"/>
      <c r="G87" s="91"/>
      <c r="I87" s="90"/>
      <c r="J87" s="92"/>
      <c r="K87" s="92"/>
      <c r="L87" s="92"/>
      <c r="M87" s="92"/>
      <c r="N87" s="93"/>
      <c r="O87" s="91"/>
    </row>
    <row r="88" spans="1:15" ht="20.100000000000001" customHeight="1" thickBot="1" x14ac:dyDescent="0.3">
      <c r="A88" s="94"/>
      <c r="B88" s="495" t="str">
        <f>B76</f>
        <v>11:00 - 11:15 uur</v>
      </c>
      <c r="C88" s="496"/>
      <c r="D88" s="496"/>
      <c r="E88" s="497"/>
      <c r="F88" s="104" t="s">
        <v>251</v>
      </c>
      <c r="G88" s="95"/>
      <c r="H88" s="96"/>
      <c r="I88" s="94"/>
      <c r="J88" s="495" t="str">
        <f>B76</f>
        <v>11:00 - 11:15 uur</v>
      </c>
      <c r="K88" s="496"/>
      <c r="L88" s="496"/>
      <c r="M88" s="497"/>
      <c r="N88" s="104" t="s">
        <v>252</v>
      </c>
      <c r="O88" s="95"/>
    </row>
    <row r="89" spans="1:15" ht="13.5" customHeight="1" thickBot="1" x14ac:dyDescent="0.3">
      <c r="A89" s="90"/>
      <c r="B89" s="97"/>
      <c r="C89" s="92"/>
      <c r="D89" s="92"/>
      <c r="E89" s="92"/>
      <c r="F89" s="98"/>
      <c r="G89" s="91"/>
      <c r="I89" s="90"/>
      <c r="J89" s="97"/>
      <c r="K89" s="92"/>
      <c r="L89" s="92"/>
      <c r="M89" s="92"/>
      <c r="N89" s="98"/>
      <c r="O89" s="91"/>
    </row>
    <row r="90" spans="1:15" ht="30" customHeight="1" thickBot="1" x14ac:dyDescent="0.35">
      <c r="A90" s="90"/>
      <c r="B90" s="500" t="str">
        <f>KWALIFICATIE!E46</f>
        <v>FC Isjeneefer</v>
      </c>
      <c r="C90" s="501"/>
      <c r="D90" s="502"/>
      <c r="F90" s="100"/>
      <c r="J90" s="500" t="str">
        <f>KWALIFICATIE!E47</f>
        <v>Orion</v>
      </c>
      <c r="K90" s="501"/>
      <c r="L90" s="502"/>
      <c r="M90" s="99"/>
      <c r="N90" s="100"/>
      <c r="O90" s="91"/>
    </row>
    <row r="91" spans="1:15" ht="16.5" thickBot="1" x14ac:dyDescent="0.3">
      <c r="A91" s="90"/>
      <c r="B91" s="99"/>
      <c r="C91" s="99"/>
      <c r="D91" s="99"/>
      <c r="F91" s="99"/>
      <c r="J91" s="99"/>
      <c r="K91" s="99"/>
      <c r="L91" s="99"/>
      <c r="M91" s="99"/>
      <c r="N91" s="99"/>
      <c r="O91" s="91"/>
    </row>
    <row r="92" spans="1:15" ht="30" customHeight="1" thickBot="1" x14ac:dyDescent="0.35">
      <c r="A92" s="90"/>
      <c r="B92" s="500" t="str">
        <f>KWALIFICATIE!J46</f>
        <v>Kampongveldert</v>
      </c>
      <c r="C92" s="501"/>
      <c r="D92" s="502"/>
      <c r="F92" s="100"/>
      <c r="J92" s="500" t="str">
        <f>KWALIFICATIE!J47</f>
        <v>Wart6</v>
      </c>
      <c r="K92" s="501"/>
      <c r="L92" s="502"/>
      <c r="M92" s="99"/>
      <c r="N92" s="100"/>
      <c r="O92" s="91"/>
    </row>
    <row r="93" spans="1:15" ht="12" customHeight="1" x14ac:dyDescent="0.25">
      <c r="A93" s="90"/>
      <c r="B93" s="99"/>
      <c r="C93" s="99"/>
      <c r="D93" s="99"/>
      <c r="E93" s="99"/>
      <c r="F93" s="99"/>
      <c r="G93" s="91"/>
      <c r="I93" s="90"/>
      <c r="J93" s="99"/>
      <c r="K93" s="99"/>
      <c r="L93" s="99"/>
      <c r="M93" s="99"/>
      <c r="N93" s="99"/>
      <c r="O93" s="91"/>
    </row>
    <row r="94" spans="1:15" ht="13.5" customHeight="1" x14ac:dyDescent="0.25">
      <c r="A94" s="90"/>
      <c r="B94" s="498" t="str">
        <f>B58</f>
        <v>SCOREKAART - HVC2016</v>
      </c>
      <c r="C94" s="498"/>
      <c r="D94" s="498"/>
      <c r="E94" s="498"/>
      <c r="F94" s="498"/>
      <c r="G94" s="91"/>
      <c r="I94" s="90"/>
      <c r="J94" s="498" t="str">
        <f>B58</f>
        <v>SCOREKAART - HVC2016</v>
      </c>
      <c r="K94" s="498"/>
      <c r="L94" s="498"/>
      <c r="M94" s="498"/>
      <c r="N94" s="498"/>
      <c r="O94" s="91"/>
    </row>
    <row r="95" spans="1:15" ht="12" customHeight="1" thickBot="1" x14ac:dyDescent="0.3">
      <c r="A95" s="101"/>
      <c r="B95" s="102"/>
      <c r="C95" s="102"/>
      <c r="D95" s="102"/>
      <c r="E95" s="102"/>
      <c r="F95" s="102"/>
      <c r="G95" s="103"/>
      <c r="I95" s="101"/>
      <c r="J95" s="102"/>
      <c r="K95" s="102"/>
      <c r="L95" s="102"/>
      <c r="M95" s="102"/>
      <c r="N95" s="102"/>
      <c r="O95" s="103"/>
    </row>
    <row r="96" spans="1:15" ht="16.5" thickBot="1" x14ac:dyDescent="0.3">
      <c r="A96" s="86"/>
      <c r="B96" s="87"/>
      <c r="C96" s="87"/>
      <c r="D96" s="87"/>
      <c r="E96" s="87"/>
      <c r="F96" s="87"/>
      <c r="G96" s="88"/>
      <c r="I96" s="86"/>
      <c r="J96" s="87"/>
      <c r="K96" s="87"/>
      <c r="L96" s="87"/>
      <c r="M96" s="87"/>
      <c r="N96" s="87"/>
      <c r="O96" s="88"/>
    </row>
    <row r="97" spans="1:15" ht="20.25" customHeight="1" thickBot="1" x14ac:dyDescent="0.3">
      <c r="A97" s="90"/>
      <c r="B97" s="506" t="str">
        <f>START!D4</f>
        <v>KWALIFICATIE</v>
      </c>
      <c r="C97" s="504"/>
      <c r="D97" s="505"/>
      <c r="E97" s="106"/>
      <c r="F97" s="105" t="s">
        <v>25</v>
      </c>
      <c r="G97" s="91"/>
      <c r="I97" s="90"/>
      <c r="J97" s="503" t="str">
        <f>B97</f>
        <v>KWALIFICATIE</v>
      </c>
      <c r="K97" s="504"/>
      <c r="L97" s="505"/>
      <c r="M97" s="106"/>
      <c r="N97" s="105" t="str">
        <f>F97</f>
        <v>RONDE 3</v>
      </c>
      <c r="O97" s="91"/>
    </row>
    <row r="98" spans="1:15" ht="9.75" customHeight="1" thickBot="1" x14ac:dyDescent="0.3">
      <c r="A98" s="90"/>
      <c r="B98" s="92"/>
      <c r="C98" s="92"/>
      <c r="D98" s="92"/>
      <c r="E98" s="92"/>
      <c r="F98" s="93"/>
      <c r="G98" s="91"/>
      <c r="I98" s="90"/>
      <c r="J98" s="92"/>
      <c r="K98" s="92"/>
      <c r="L98" s="92"/>
      <c r="M98" s="92"/>
      <c r="N98" s="93"/>
      <c r="O98" s="91"/>
    </row>
    <row r="99" spans="1:15" s="96" customFormat="1" ht="19.5" customHeight="1" thickBot="1" x14ac:dyDescent="0.3">
      <c r="A99" s="94"/>
      <c r="B99" s="499" t="str">
        <f>B88</f>
        <v>11:00 - 11:15 uur</v>
      </c>
      <c r="C99" s="496"/>
      <c r="D99" s="496"/>
      <c r="E99" s="497"/>
      <c r="F99" s="104" t="s">
        <v>253</v>
      </c>
      <c r="G99" s="95"/>
      <c r="I99" s="94"/>
      <c r="J99" s="495" t="str">
        <f>B99</f>
        <v>11:00 - 11:15 uur</v>
      </c>
      <c r="K99" s="496"/>
      <c r="L99" s="496"/>
      <c r="M99" s="497"/>
      <c r="N99" s="104" t="s">
        <v>254</v>
      </c>
      <c r="O99" s="95"/>
    </row>
    <row r="100" spans="1:15" ht="14.25" customHeight="1" thickBot="1" x14ac:dyDescent="0.3">
      <c r="A100" s="90"/>
      <c r="B100" s="97"/>
      <c r="C100" s="92"/>
      <c r="D100" s="92"/>
      <c r="E100" s="92"/>
      <c r="F100" s="98"/>
      <c r="G100" s="91"/>
      <c r="I100" s="90"/>
      <c r="J100" s="97"/>
      <c r="K100" s="92"/>
      <c r="L100" s="92"/>
      <c r="M100" s="92"/>
      <c r="N100" s="98"/>
      <c r="O100" s="91"/>
    </row>
    <row r="101" spans="1:15" s="117" customFormat="1" ht="30" customHeight="1" thickBot="1" x14ac:dyDescent="0.35">
      <c r="A101" s="113"/>
      <c r="B101" s="500" t="str">
        <f>KWALIFICATIE!E48</f>
        <v>De Torpedo's</v>
      </c>
      <c r="C101" s="501"/>
      <c r="D101" s="502"/>
      <c r="E101" s="114"/>
      <c r="F101" s="115"/>
      <c r="G101" s="116"/>
      <c r="I101" s="113"/>
      <c r="J101" s="500" t="str">
        <f>KWALIFICATIE!E49</f>
        <v xml:space="preserve">De Pintjes </v>
      </c>
      <c r="K101" s="501"/>
      <c r="L101" s="502"/>
      <c r="M101" s="114"/>
      <c r="N101" s="115"/>
      <c r="O101" s="116"/>
    </row>
    <row r="102" spans="1:15" ht="16.5" thickBot="1" x14ac:dyDescent="0.3">
      <c r="A102" s="90"/>
      <c r="B102" s="99"/>
      <c r="C102" s="99"/>
      <c r="D102" s="99"/>
      <c r="E102" s="99"/>
      <c r="F102" s="99"/>
      <c r="G102" s="91"/>
      <c r="I102" s="90"/>
      <c r="J102" s="99"/>
      <c r="K102" s="99"/>
      <c r="L102" s="99"/>
      <c r="M102" s="99"/>
      <c r="N102" s="99"/>
      <c r="O102" s="91"/>
    </row>
    <row r="103" spans="1:15" s="117" customFormat="1" ht="30" customHeight="1" thickBot="1" x14ac:dyDescent="0.35">
      <c r="A103" s="113"/>
      <c r="B103" s="500" t="str">
        <f>KWALIFICATIE!J48</f>
        <v>AccentSport Rakkers</v>
      </c>
      <c r="C103" s="501"/>
      <c r="D103" s="502"/>
      <c r="E103" s="114"/>
      <c r="F103" s="115"/>
      <c r="G103" s="116"/>
      <c r="I103" s="113"/>
      <c r="J103" s="500" t="str">
        <f>KWALIFICATIE!J49</f>
        <v>Het Bestuur</v>
      </c>
      <c r="K103" s="501"/>
      <c r="L103" s="502"/>
      <c r="M103" s="114"/>
      <c r="N103" s="115"/>
      <c r="O103" s="116"/>
    </row>
    <row r="104" spans="1:15" ht="12" customHeight="1" x14ac:dyDescent="0.25">
      <c r="A104" s="90"/>
      <c r="B104" s="99"/>
      <c r="C104" s="99"/>
      <c r="D104" s="99"/>
      <c r="E104" s="99"/>
      <c r="F104" s="99"/>
      <c r="G104" s="91"/>
      <c r="I104" s="90"/>
      <c r="J104" s="99"/>
      <c r="K104" s="99"/>
      <c r="L104" s="99"/>
      <c r="M104" s="99"/>
      <c r="N104" s="99"/>
      <c r="O104" s="91"/>
    </row>
    <row r="105" spans="1:15" ht="13.5" customHeight="1" x14ac:dyDescent="0.25">
      <c r="A105" s="90"/>
      <c r="B105" s="498" t="str">
        <f>B94</f>
        <v>SCOREKAART - HVC2016</v>
      </c>
      <c r="C105" s="498"/>
      <c r="D105" s="498"/>
      <c r="E105" s="498"/>
      <c r="F105" s="498"/>
      <c r="G105" s="91"/>
      <c r="I105" s="90"/>
      <c r="J105" s="498" t="str">
        <f>B105</f>
        <v>SCOREKAART - HVC2016</v>
      </c>
      <c r="K105" s="498"/>
      <c r="L105" s="498"/>
      <c r="M105" s="498"/>
      <c r="N105" s="498"/>
      <c r="O105" s="91"/>
    </row>
    <row r="106" spans="1:15" ht="11.25" customHeight="1" thickBot="1" x14ac:dyDescent="0.3">
      <c r="A106" s="101"/>
      <c r="B106" s="102"/>
      <c r="C106" s="102"/>
      <c r="D106" s="102"/>
      <c r="E106" s="102"/>
      <c r="F106" s="102"/>
      <c r="G106" s="103"/>
      <c r="I106" s="101"/>
      <c r="J106" s="102"/>
      <c r="K106" s="102"/>
      <c r="L106" s="102"/>
      <c r="M106" s="102"/>
      <c r="N106" s="102"/>
      <c r="O106" s="103"/>
    </row>
    <row r="107" spans="1:15" ht="13.5" customHeight="1" thickBot="1" x14ac:dyDescent="0.3">
      <c r="A107" s="99"/>
      <c r="B107" s="99"/>
      <c r="C107" s="99"/>
      <c r="D107" s="99"/>
      <c r="E107" s="99"/>
      <c r="F107" s="99"/>
      <c r="G107" s="99"/>
      <c r="I107" s="99"/>
      <c r="J107" s="99"/>
      <c r="K107" s="99"/>
      <c r="L107" s="99"/>
      <c r="M107" s="99"/>
      <c r="N107" s="99"/>
      <c r="O107" s="99"/>
    </row>
    <row r="108" spans="1:15" ht="16.5" thickBot="1" x14ac:dyDescent="0.3">
      <c r="A108" s="86"/>
      <c r="B108" s="87"/>
      <c r="C108" s="87"/>
      <c r="D108" s="87"/>
      <c r="E108" s="87"/>
      <c r="F108" s="87"/>
      <c r="G108" s="88"/>
      <c r="I108" s="86"/>
      <c r="J108" s="87"/>
      <c r="K108" s="87"/>
      <c r="L108" s="87"/>
      <c r="M108" s="87"/>
      <c r="N108" s="87"/>
      <c r="O108" s="88"/>
    </row>
    <row r="109" spans="1:15" ht="20.100000000000001" customHeight="1" thickBot="1" x14ac:dyDescent="0.3">
      <c r="A109" s="90"/>
      <c r="B109" s="503" t="str">
        <f>B97</f>
        <v>KWALIFICATIE</v>
      </c>
      <c r="C109" s="504"/>
      <c r="D109" s="505"/>
      <c r="E109" s="106"/>
      <c r="F109" s="136" t="s">
        <v>27</v>
      </c>
      <c r="G109" s="91"/>
      <c r="I109" s="90"/>
      <c r="J109" s="503" t="str">
        <f>B97</f>
        <v>KWALIFICATIE</v>
      </c>
      <c r="K109" s="504"/>
      <c r="L109" s="505"/>
      <c r="M109" s="106"/>
      <c r="N109" s="105" t="str">
        <f>F109</f>
        <v>RONDE 4</v>
      </c>
      <c r="O109" s="91"/>
    </row>
    <row r="110" spans="1:15" ht="9.75" customHeight="1" thickBot="1" x14ac:dyDescent="0.3">
      <c r="A110" s="90"/>
      <c r="B110" s="92"/>
      <c r="C110" s="92"/>
      <c r="D110" s="92"/>
      <c r="E110" s="92"/>
      <c r="F110" s="93"/>
      <c r="G110" s="91"/>
      <c r="I110" s="90"/>
      <c r="J110" s="92"/>
      <c r="K110" s="92"/>
      <c r="L110" s="92"/>
      <c r="M110" s="92"/>
      <c r="N110" s="93"/>
      <c r="O110" s="91"/>
    </row>
    <row r="111" spans="1:15" ht="20.100000000000001" customHeight="1" thickBot="1" x14ac:dyDescent="0.3">
      <c r="A111" s="94"/>
      <c r="B111" s="495" t="str">
        <f>START!B5</f>
        <v>11:15 - 11:30 uur</v>
      </c>
      <c r="C111" s="496"/>
      <c r="D111" s="496"/>
      <c r="E111" s="497"/>
      <c r="F111" s="104" t="s">
        <v>249</v>
      </c>
      <c r="G111" s="95"/>
      <c r="H111" s="96"/>
      <c r="I111" s="94"/>
      <c r="J111" s="495" t="str">
        <f>B111</f>
        <v>11:15 - 11:30 uur</v>
      </c>
      <c r="K111" s="496"/>
      <c r="L111" s="496"/>
      <c r="M111" s="497"/>
      <c r="N111" s="104" t="s">
        <v>250</v>
      </c>
      <c r="O111" s="95"/>
    </row>
    <row r="112" spans="1:15" ht="13.5" customHeight="1" thickBot="1" x14ac:dyDescent="0.3">
      <c r="A112" s="90"/>
      <c r="B112" s="97"/>
      <c r="C112" s="92"/>
      <c r="D112" s="92"/>
      <c r="E112" s="92"/>
      <c r="F112" s="98"/>
      <c r="G112" s="91"/>
      <c r="I112" s="90"/>
      <c r="J112" s="97"/>
      <c r="K112" s="92"/>
      <c r="L112" s="92"/>
      <c r="M112" s="92"/>
      <c r="N112" s="98"/>
      <c r="O112" s="91"/>
    </row>
    <row r="113" spans="1:15" s="117" customFormat="1" ht="30" customHeight="1" thickBot="1" x14ac:dyDescent="0.35">
      <c r="A113" s="113"/>
      <c r="B113" s="500" t="str">
        <f>KWALIFICATIE!E52</f>
        <v>Pilsmaten</v>
      </c>
      <c r="C113" s="501"/>
      <c r="D113" s="502"/>
      <c r="F113" s="115"/>
      <c r="J113" s="500" t="str">
        <f>KWALIFICATIE!E53</f>
        <v>TEC-BTV</v>
      </c>
      <c r="K113" s="501"/>
      <c r="L113" s="502"/>
      <c r="M113" s="114"/>
      <c r="N113" s="115"/>
      <c r="O113" s="116"/>
    </row>
    <row r="114" spans="1:15" ht="16.5" thickBot="1" x14ac:dyDescent="0.3">
      <c r="A114" s="90"/>
      <c r="B114" s="99"/>
      <c r="C114" s="99"/>
      <c r="D114" s="99"/>
      <c r="F114" s="99"/>
      <c r="J114" s="99"/>
      <c r="K114" s="99"/>
      <c r="L114" s="99"/>
      <c r="M114" s="99"/>
      <c r="N114" s="99"/>
      <c r="O114" s="91"/>
    </row>
    <row r="115" spans="1:15" s="117" customFormat="1" ht="30" customHeight="1" thickBot="1" x14ac:dyDescent="0.35">
      <c r="A115" s="113"/>
      <c r="B115" s="500" t="str">
        <f>KWALIFICATIE!J52</f>
        <v>Geuzenmiddenmeer</v>
      </c>
      <c r="C115" s="501"/>
      <c r="D115" s="502"/>
      <c r="F115" s="115"/>
      <c r="J115" s="500" t="str">
        <f>KWALIFICATIE!J53</f>
        <v>Rap</v>
      </c>
      <c r="K115" s="501"/>
      <c r="L115" s="502"/>
      <c r="M115" s="114"/>
      <c r="N115" s="115"/>
      <c r="O115" s="116"/>
    </row>
    <row r="116" spans="1:15" ht="12" customHeight="1" x14ac:dyDescent="0.25">
      <c r="A116" s="90"/>
      <c r="B116" s="99"/>
      <c r="C116" s="99"/>
      <c r="D116" s="99"/>
      <c r="E116" s="99"/>
      <c r="F116" s="99"/>
      <c r="G116" s="91"/>
      <c r="I116" s="90"/>
      <c r="J116" s="99"/>
      <c r="K116" s="99"/>
      <c r="L116" s="99"/>
      <c r="M116" s="99"/>
      <c r="N116" s="99"/>
      <c r="O116" s="91"/>
    </row>
    <row r="117" spans="1:15" ht="13.5" customHeight="1" x14ac:dyDescent="0.25">
      <c r="A117" s="90"/>
      <c r="B117" s="498" t="str">
        <f>B105</f>
        <v>SCOREKAART - HVC2016</v>
      </c>
      <c r="C117" s="498"/>
      <c r="D117" s="498"/>
      <c r="E117" s="498"/>
      <c r="F117" s="498"/>
      <c r="G117" s="91"/>
      <c r="I117" s="90"/>
      <c r="J117" s="498" t="str">
        <f>B105</f>
        <v>SCOREKAART - HVC2016</v>
      </c>
      <c r="K117" s="498"/>
      <c r="L117" s="498"/>
      <c r="M117" s="498"/>
      <c r="N117" s="498"/>
      <c r="O117" s="91"/>
    </row>
    <row r="118" spans="1:15" ht="11.25" customHeight="1" thickBot="1" x14ac:dyDescent="0.3">
      <c r="A118" s="101"/>
      <c r="B118" s="102"/>
      <c r="C118" s="102"/>
      <c r="D118" s="102"/>
      <c r="E118" s="102"/>
      <c r="F118" s="102"/>
      <c r="G118" s="103"/>
      <c r="I118" s="101"/>
      <c r="J118" s="102"/>
      <c r="K118" s="102"/>
      <c r="L118" s="102"/>
      <c r="M118" s="102"/>
      <c r="N118" s="102"/>
      <c r="O118" s="103"/>
    </row>
    <row r="119" spans="1:15" ht="14.1" customHeight="1" thickBot="1" x14ac:dyDescent="0.3">
      <c r="A119" s="107"/>
      <c r="B119" s="99"/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107"/>
    </row>
    <row r="120" spans="1:15" ht="16.5" customHeight="1" thickBot="1" x14ac:dyDescent="0.3">
      <c r="A120" s="86"/>
      <c r="B120" s="87"/>
      <c r="C120" s="87"/>
      <c r="D120" s="87"/>
      <c r="E120" s="87"/>
      <c r="F120" s="87"/>
      <c r="G120" s="88"/>
      <c r="I120" s="86"/>
      <c r="J120" s="87"/>
      <c r="K120" s="87"/>
      <c r="L120" s="87"/>
      <c r="M120" s="87"/>
      <c r="N120" s="87"/>
      <c r="O120" s="88"/>
    </row>
    <row r="121" spans="1:15" ht="20.100000000000001" customHeight="1" thickBot="1" x14ac:dyDescent="0.3">
      <c r="A121" s="90"/>
      <c r="B121" s="503" t="str">
        <f>B97</f>
        <v>KWALIFICATIE</v>
      </c>
      <c r="C121" s="504"/>
      <c r="D121" s="505"/>
      <c r="E121" s="106"/>
      <c r="F121" s="105" t="str">
        <f>F109</f>
        <v>RONDE 4</v>
      </c>
      <c r="G121" s="91"/>
      <c r="I121" s="90"/>
      <c r="J121" s="503" t="str">
        <f>B97</f>
        <v>KWALIFICATIE</v>
      </c>
      <c r="K121" s="504"/>
      <c r="L121" s="505"/>
      <c r="M121" s="106"/>
      <c r="N121" s="105" t="str">
        <f>F109</f>
        <v>RONDE 4</v>
      </c>
      <c r="O121" s="91"/>
    </row>
    <row r="122" spans="1:15" ht="13.5" customHeight="1" thickBot="1" x14ac:dyDescent="0.3">
      <c r="A122" s="90"/>
      <c r="B122" s="92"/>
      <c r="C122" s="92"/>
      <c r="D122" s="92"/>
      <c r="E122" s="92"/>
      <c r="F122" s="93"/>
      <c r="G122" s="91"/>
      <c r="I122" s="90"/>
      <c r="J122" s="92"/>
      <c r="K122" s="92"/>
      <c r="L122" s="92"/>
      <c r="M122" s="92"/>
      <c r="N122" s="93"/>
      <c r="O122" s="91"/>
    </row>
    <row r="123" spans="1:15" ht="20.100000000000001" customHeight="1" thickBot="1" x14ac:dyDescent="0.3">
      <c r="A123" s="94"/>
      <c r="B123" s="495" t="str">
        <f>B111</f>
        <v>11:15 - 11:30 uur</v>
      </c>
      <c r="C123" s="496"/>
      <c r="D123" s="496"/>
      <c r="E123" s="497"/>
      <c r="F123" s="104" t="s">
        <v>251</v>
      </c>
      <c r="G123" s="95"/>
      <c r="H123" s="96"/>
      <c r="I123" s="94"/>
      <c r="J123" s="495" t="str">
        <f>B123</f>
        <v>11:15 - 11:30 uur</v>
      </c>
      <c r="K123" s="496"/>
      <c r="L123" s="496"/>
      <c r="M123" s="497"/>
      <c r="N123" s="104" t="s">
        <v>252</v>
      </c>
      <c r="O123" s="95"/>
    </row>
    <row r="124" spans="1:15" ht="13.5" customHeight="1" thickBot="1" x14ac:dyDescent="0.3">
      <c r="A124" s="90"/>
      <c r="B124" s="97"/>
      <c r="C124" s="92"/>
      <c r="D124" s="92"/>
      <c r="E124" s="92"/>
      <c r="F124" s="98"/>
      <c r="G124" s="91"/>
      <c r="I124" s="90"/>
      <c r="J124" s="97"/>
      <c r="K124" s="92"/>
      <c r="L124" s="92"/>
      <c r="M124" s="92"/>
      <c r="N124" s="98"/>
      <c r="O124" s="91"/>
    </row>
    <row r="125" spans="1:15" s="117" customFormat="1" ht="30" customHeight="1" thickBot="1" x14ac:dyDescent="0.35">
      <c r="A125" s="113"/>
      <c r="B125" s="500" t="str">
        <f>KWALIFICATIE!E54</f>
        <v>De Doofpot</v>
      </c>
      <c r="C125" s="501"/>
      <c r="D125" s="502"/>
      <c r="E125" s="114"/>
      <c r="F125" s="115"/>
      <c r="G125" s="116"/>
      <c r="I125" s="113"/>
      <c r="J125" s="500" t="str">
        <f>KWALIFICATIE!E55</f>
        <v>Swift Zondag 11</v>
      </c>
      <c r="K125" s="501"/>
      <c r="L125" s="502"/>
      <c r="M125" s="114"/>
      <c r="N125" s="115"/>
      <c r="O125" s="116"/>
    </row>
    <row r="126" spans="1:15" ht="16.5" thickBot="1" x14ac:dyDescent="0.3">
      <c r="A126" s="90"/>
      <c r="B126" s="99"/>
      <c r="C126" s="99"/>
      <c r="D126" s="99"/>
      <c r="E126" s="99"/>
      <c r="F126" s="99"/>
      <c r="G126" s="91"/>
      <c r="I126" s="90"/>
      <c r="J126" s="99"/>
      <c r="K126" s="99"/>
      <c r="L126" s="99"/>
      <c r="M126" s="99"/>
      <c r="N126" s="99"/>
      <c r="O126" s="91"/>
    </row>
    <row r="127" spans="1:15" s="117" customFormat="1" ht="30" customHeight="1" thickBot="1" x14ac:dyDescent="0.35">
      <c r="A127" s="113"/>
      <c r="B127" s="500" t="str">
        <f>KWALIFICATIE!J54</f>
        <v>De Flitsers 3</v>
      </c>
      <c r="C127" s="501"/>
      <c r="D127" s="502"/>
      <c r="E127" s="114"/>
      <c r="F127" s="115"/>
      <c r="G127" s="116"/>
      <c r="I127" s="113"/>
      <c r="J127" s="500" t="str">
        <f>KWALIFICATIE!J55</f>
        <v>Vrienden van Van Essen</v>
      </c>
      <c r="K127" s="501"/>
      <c r="L127" s="502"/>
      <c r="M127" s="114"/>
      <c r="N127" s="115"/>
      <c r="O127" s="116"/>
    </row>
    <row r="128" spans="1:15" ht="12" customHeight="1" x14ac:dyDescent="0.25">
      <c r="A128" s="90"/>
      <c r="B128" s="99"/>
      <c r="C128" s="99"/>
      <c r="D128" s="99"/>
      <c r="E128" s="99"/>
      <c r="F128" s="99"/>
      <c r="G128" s="91"/>
      <c r="I128" s="90"/>
      <c r="J128" s="99"/>
      <c r="K128" s="99"/>
      <c r="L128" s="99"/>
      <c r="M128" s="99"/>
      <c r="N128" s="99"/>
      <c r="O128" s="91"/>
    </row>
    <row r="129" spans="1:15" ht="13.5" customHeight="1" x14ac:dyDescent="0.25">
      <c r="A129" s="90"/>
      <c r="B129" s="498" t="str">
        <f>B105</f>
        <v>SCOREKAART - HVC2016</v>
      </c>
      <c r="C129" s="498"/>
      <c r="D129" s="498"/>
      <c r="E129" s="498"/>
      <c r="F129" s="498"/>
      <c r="G129" s="91"/>
      <c r="I129" s="90"/>
      <c r="J129" s="498" t="str">
        <f>B105</f>
        <v>SCOREKAART - HVC2016</v>
      </c>
      <c r="K129" s="498"/>
      <c r="L129" s="498"/>
      <c r="M129" s="498"/>
      <c r="N129" s="498"/>
      <c r="O129" s="91"/>
    </row>
    <row r="130" spans="1:15" ht="12" customHeight="1" thickBot="1" x14ac:dyDescent="0.3">
      <c r="A130" s="101"/>
      <c r="B130" s="102"/>
      <c r="C130" s="102"/>
      <c r="D130" s="102"/>
      <c r="E130" s="102"/>
      <c r="F130" s="102"/>
      <c r="G130" s="103"/>
      <c r="I130" s="101"/>
      <c r="J130" s="102"/>
      <c r="K130" s="102"/>
      <c r="L130" s="102"/>
      <c r="M130" s="102"/>
      <c r="N130" s="102"/>
      <c r="O130" s="103"/>
    </row>
    <row r="131" spans="1:15" ht="14.1" customHeight="1" thickBot="1" x14ac:dyDescent="0.3">
      <c r="A131" s="107"/>
      <c r="B131" s="99"/>
      <c r="C131" s="99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107"/>
    </row>
    <row r="132" spans="1:15" ht="16.5" thickBot="1" x14ac:dyDescent="0.3">
      <c r="A132" s="86"/>
      <c r="B132" s="87"/>
      <c r="C132" s="87"/>
      <c r="D132" s="87"/>
      <c r="E132" s="87"/>
      <c r="F132" s="87"/>
      <c r="G132" s="88"/>
      <c r="I132" s="86"/>
      <c r="J132" s="87"/>
      <c r="K132" s="87"/>
      <c r="L132" s="87"/>
      <c r="M132" s="87"/>
      <c r="N132" s="87"/>
      <c r="O132" s="88"/>
    </row>
    <row r="133" spans="1:15" ht="20.100000000000001" customHeight="1" thickBot="1" x14ac:dyDescent="0.3">
      <c r="A133" s="90"/>
      <c r="B133" s="503" t="str">
        <f>B97</f>
        <v>KWALIFICATIE</v>
      </c>
      <c r="C133" s="504"/>
      <c r="D133" s="505"/>
      <c r="E133" s="106"/>
      <c r="F133" s="105" t="str">
        <f>F109</f>
        <v>RONDE 4</v>
      </c>
      <c r="G133" s="91"/>
      <c r="I133" s="90"/>
      <c r="J133" s="503" t="str">
        <f>B97</f>
        <v>KWALIFICATIE</v>
      </c>
      <c r="K133" s="504"/>
      <c r="L133" s="505"/>
      <c r="M133" s="106"/>
      <c r="N133" s="105" t="str">
        <f>F121</f>
        <v>RONDE 4</v>
      </c>
      <c r="O133" s="91"/>
    </row>
    <row r="134" spans="1:15" ht="13.5" customHeight="1" thickBot="1" x14ac:dyDescent="0.3">
      <c r="A134" s="90"/>
      <c r="B134" s="92"/>
      <c r="C134" s="92"/>
      <c r="D134" s="92"/>
      <c r="E134" s="92"/>
      <c r="F134" s="93"/>
      <c r="G134" s="91"/>
      <c r="I134" s="90"/>
      <c r="J134" s="92"/>
      <c r="K134" s="92"/>
      <c r="L134" s="92"/>
      <c r="M134" s="92"/>
      <c r="N134" s="93"/>
      <c r="O134" s="91"/>
    </row>
    <row r="135" spans="1:15" ht="20.100000000000001" customHeight="1" thickBot="1" x14ac:dyDescent="0.3">
      <c r="A135" s="94"/>
      <c r="B135" s="495" t="str">
        <f>B111</f>
        <v>11:15 - 11:30 uur</v>
      </c>
      <c r="C135" s="496"/>
      <c r="D135" s="496"/>
      <c r="E135" s="497"/>
      <c r="F135" s="104" t="s">
        <v>253</v>
      </c>
      <c r="G135" s="95"/>
      <c r="H135" s="96"/>
      <c r="I135" s="94"/>
      <c r="J135" s="495" t="str">
        <f>B111</f>
        <v>11:15 - 11:30 uur</v>
      </c>
      <c r="K135" s="496"/>
      <c r="L135" s="496"/>
      <c r="M135" s="497"/>
      <c r="N135" s="104" t="s">
        <v>254</v>
      </c>
      <c r="O135" s="95"/>
    </row>
    <row r="136" spans="1:15" ht="13.5" customHeight="1" thickBot="1" x14ac:dyDescent="0.3">
      <c r="A136" s="90"/>
      <c r="B136" s="97"/>
      <c r="C136" s="92"/>
      <c r="D136" s="92"/>
      <c r="E136" s="92"/>
      <c r="F136" s="98"/>
      <c r="G136" s="91"/>
      <c r="I136" s="90"/>
      <c r="J136" s="97"/>
      <c r="K136" s="92"/>
      <c r="L136" s="92"/>
      <c r="M136" s="92"/>
      <c r="N136" s="98"/>
      <c r="O136" s="91"/>
    </row>
    <row r="137" spans="1:15" s="117" customFormat="1" ht="30" customHeight="1" thickBot="1" x14ac:dyDescent="0.35">
      <c r="A137" s="113"/>
      <c r="B137" s="500" t="str">
        <f>KWALIFICATIE!E56</f>
        <v>De Kabel</v>
      </c>
      <c r="C137" s="501"/>
      <c r="D137" s="502"/>
      <c r="E137" s="114"/>
      <c r="F137" s="115"/>
      <c r="G137" s="116"/>
      <c r="I137" s="113"/>
      <c r="J137" s="500" t="str">
        <f>KWALIFICATIE!E57</f>
        <v>Jenever op de Schinkel</v>
      </c>
      <c r="K137" s="501"/>
      <c r="L137" s="502"/>
      <c r="M137" s="114"/>
      <c r="N137" s="115"/>
      <c r="O137" s="116"/>
    </row>
    <row r="138" spans="1:15" ht="16.5" thickBot="1" x14ac:dyDescent="0.3">
      <c r="A138" s="90"/>
      <c r="B138" s="99"/>
      <c r="C138" s="99"/>
      <c r="D138" s="99"/>
      <c r="E138" s="99"/>
      <c r="F138" s="99"/>
      <c r="G138" s="91"/>
      <c r="I138" s="90"/>
      <c r="J138" s="99"/>
      <c r="K138" s="99"/>
      <c r="L138" s="99"/>
      <c r="M138" s="99"/>
      <c r="N138" s="99"/>
      <c r="O138" s="91"/>
    </row>
    <row r="139" spans="1:15" s="117" customFormat="1" ht="30" customHeight="1" thickBot="1" x14ac:dyDescent="0.35">
      <c r="A139" s="113"/>
      <c r="B139" s="500" t="str">
        <f>KWALIFICATIE!J56</f>
        <v>Team Bombert</v>
      </c>
      <c r="C139" s="501"/>
      <c r="D139" s="502"/>
      <c r="E139" s="114"/>
      <c r="F139" s="115"/>
      <c r="G139" s="116"/>
      <c r="I139" s="113"/>
      <c r="J139" s="500" t="str">
        <f>KWALIFICATIE!J57</f>
        <v>Amsterdam Finest ss16</v>
      </c>
      <c r="K139" s="501"/>
      <c r="L139" s="502"/>
      <c r="M139" s="114"/>
      <c r="N139" s="115"/>
      <c r="O139" s="116"/>
    </row>
    <row r="140" spans="1:15" ht="12" customHeight="1" x14ac:dyDescent="0.25">
      <c r="A140" s="90"/>
      <c r="B140" s="99"/>
      <c r="C140" s="99"/>
      <c r="D140" s="99"/>
      <c r="E140" s="99"/>
      <c r="F140" s="99"/>
      <c r="G140" s="91"/>
      <c r="I140" s="90"/>
      <c r="J140" s="99"/>
      <c r="K140" s="99"/>
      <c r="L140" s="99"/>
      <c r="M140" s="99"/>
      <c r="N140" s="99"/>
      <c r="O140" s="91"/>
    </row>
    <row r="141" spans="1:15" ht="13.5" customHeight="1" x14ac:dyDescent="0.25">
      <c r="A141" s="90"/>
      <c r="B141" s="498" t="str">
        <f>B105</f>
        <v>SCOREKAART - HVC2016</v>
      </c>
      <c r="C141" s="498"/>
      <c r="D141" s="498"/>
      <c r="E141" s="498"/>
      <c r="F141" s="498"/>
      <c r="G141" s="91"/>
      <c r="I141" s="90"/>
      <c r="J141" s="498" t="str">
        <f>B105</f>
        <v>SCOREKAART - HVC2016</v>
      </c>
      <c r="K141" s="498"/>
      <c r="L141" s="498"/>
      <c r="M141" s="498"/>
      <c r="N141" s="498"/>
      <c r="O141" s="91"/>
    </row>
    <row r="142" spans="1:15" ht="12" customHeight="1" thickBot="1" x14ac:dyDescent="0.3">
      <c r="A142" s="101"/>
      <c r="B142" s="102"/>
      <c r="C142" s="102"/>
      <c r="D142" s="102"/>
      <c r="E142" s="102"/>
      <c r="F142" s="102"/>
      <c r="G142" s="103"/>
      <c r="I142" s="101"/>
      <c r="J142" s="102"/>
      <c r="K142" s="102"/>
      <c r="L142" s="102"/>
      <c r="M142" s="102"/>
      <c r="N142" s="102"/>
      <c r="O142" s="103"/>
    </row>
    <row r="143" spans="1:15" ht="16.5" thickBot="1" x14ac:dyDescent="0.3">
      <c r="A143" s="86"/>
      <c r="B143" s="87"/>
      <c r="C143" s="87"/>
      <c r="D143" s="87"/>
      <c r="E143" s="87"/>
      <c r="F143" s="87"/>
      <c r="G143" s="88"/>
      <c r="I143" s="86"/>
      <c r="J143" s="87"/>
      <c r="K143" s="87"/>
      <c r="L143" s="87"/>
      <c r="M143" s="87"/>
      <c r="N143" s="87"/>
      <c r="O143" s="88"/>
    </row>
    <row r="144" spans="1:15" ht="20.25" customHeight="1" thickBot="1" x14ac:dyDescent="0.3">
      <c r="A144" s="90"/>
      <c r="B144" s="506" t="str">
        <f>START!D5</f>
        <v>KWALIFICATIE</v>
      </c>
      <c r="C144" s="504"/>
      <c r="D144" s="505"/>
      <c r="E144" s="106"/>
      <c r="F144" s="105" t="s">
        <v>29</v>
      </c>
      <c r="G144" s="91"/>
      <c r="I144" s="90"/>
      <c r="J144" s="503" t="str">
        <f>B144</f>
        <v>KWALIFICATIE</v>
      </c>
      <c r="K144" s="504"/>
      <c r="L144" s="505"/>
      <c r="M144" s="106"/>
      <c r="N144" s="105" t="str">
        <f>F144</f>
        <v>RONDE 5</v>
      </c>
      <c r="O144" s="91"/>
    </row>
    <row r="145" spans="1:15" ht="9.75" customHeight="1" thickBot="1" x14ac:dyDescent="0.3">
      <c r="A145" s="90"/>
      <c r="B145" s="92"/>
      <c r="C145" s="92"/>
      <c r="D145" s="92"/>
      <c r="E145" s="92"/>
      <c r="F145" s="93"/>
      <c r="G145" s="91"/>
      <c r="I145" s="90"/>
      <c r="J145" s="92"/>
      <c r="K145" s="92"/>
      <c r="L145" s="92"/>
      <c r="M145" s="92"/>
      <c r="N145" s="93"/>
      <c r="O145" s="91"/>
    </row>
    <row r="146" spans="1:15" s="96" customFormat="1" ht="19.5" customHeight="1" thickBot="1" x14ac:dyDescent="0.3">
      <c r="A146" s="94"/>
      <c r="B146" s="499" t="str">
        <f>START!B6</f>
        <v>11:30 - 11:45 uur</v>
      </c>
      <c r="C146" s="496"/>
      <c r="D146" s="496"/>
      <c r="E146" s="497"/>
      <c r="F146" s="104" t="s">
        <v>249</v>
      </c>
      <c r="G146" s="95"/>
      <c r="I146" s="94"/>
      <c r="J146" s="495" t="str">
        <f>B146</f>
        <v>11:30 - 11:45 uur</v>
      </c>
      <c r="K146" s="496"/>
      <c r="L146" s="496"/>
      <c r="M146" s="497"/>
      <c r="N146" s="104" t="s">
        <v>250</v>
      </c>
      <c r="O146" s="95"/>
    </row>
    <row r="147" spans="1:15" ht="14.25" customHeight="1" thickBot="1" x14ac:dyDescent="0.3">
      <c r="A147" s="90"/>
      <c r="B147" s="97"/>
      <c r="C147" s="92"/>
      <c r="D147" s="92"/>
      <c r="E147" s="92"/>
      <c r="F147" s="98"/>
      <c r="G147" s="91"/>
      <c r="I147" s="90"/>
      <c r="J147" s="97"/>
      <c r="K147" s="92"/>
      <c r="L147" s="92"/>
      <c r="M147" s="92"/>
      <c r="N147" s="98"/>
      <c r="O147" s="91"/>
    </row>
    <row r="148" spans="1:15" s="117" customFormat="1" ht="30" customHeight="1" thickBot="1" x14ac:dyDescent="0.35">
      <c r="A148" s="113"/>
      <c r="B148" s="500" t="str">
        <f>KWALIFICATIE!E60</f>
        <v>De Westfriesies</v>
      </c>
      <c r="C148" s="501"/>
      <c r="D148" s="502"/>
      <c r="E148" s="114"/>
      <c r="F148" s="115"/>
      <c r="G148" s="116"/>
      <c r="I148" s="113"/>
      <c r="J148" s="500" t="str">
        <f>KWALIFICATIE!E61</f>
        <v>AMVJ</v>
      </c>
      <c r="K148" s="501"/>
      <c r="L148" s="502"/>
      <c r="M148" s="114"/>
      <c r="N148" s="115"/>
      <c r="O148" s="116"/>
    </row>
    <row r="149" spans="1:15" ht="16.5" thickBot="1" x14ac:dyDescent="0.3">
      <c r="A149" s="90"/>
      <c r="B149" s="99"/>
      <c r="C149" s="99"/>
      <c r="D149" s="99"/>
      <c r="E149" s="99"/>
      <c r="F149" s="99"/>
      <c r="G149" s="91"/>
      <c r="I149" s="90"/>
      <c r="J149" s="99"/>
      <c r="K149" s="99"/>
      <c r="L149" s="99"/>
      <c r="M149" s="99"/>
      <c r="N149" s="99"/>
      <c r="O149" s="91"/>
    </row>
    <row r="150" spans="1:15" s="117" customFormat="1" ht="30" customHeight="1" thickBot="1" x14ac:dyDescent="0.35">
      <c r="A150" s="113"/>
      <c r="B150" s="500" t="str">
        <f>KWALIFICATIE!J60</f>
        <v>About to get Messi</v>
      </c>
      <c r="C150" s="501"/>
      <c r="D150" s="502"/>
      <c r="E150" s="114"/>
      <c r="F150" s="115"/>
      <c r="G150" s="116"/>
      <c r="I150" s="113"/>
      <c r="J150" s="500" t="str">
        <f>KWALIFICATIE!J61</f>
        <v>KFC zaterdag VR 35+</v>
      </c>
      <c r="K150" s="501"/>
      <c r="L150" s="502"/>
      <c r="M150" s="114"/>
      <c r="N150" s="115"/>
      <c r="O150" s="116"/>
    </row>
    <row r="151" spans="1:15" ht="12" customHeight="1" x14ac:dyDescent="0.25">
      <c r="A151" s="90"/>
      <c r="B151" s="99"/>
      <c r="C151" s="99"/>
      <c r="D151" s="99"/>
      <c r="E151" s="99"/>
      <c r="F151" s="99"/>
      <c r="G151" s="91"/>
      <c r="I151" s="90"/>
      <c r="J151" s="99"/>
      <c r="K151" s="99"/>
      <c r="L151" s="99"/>
      <c r="M151" s="99"/>
      <c r="N151" s="99"/>
      <c r="O151" s="91"/>
    </row>
    <row r="152" spans="1:15" ht="13.5" customHeight="1" x14ac:dyDescent="0.25">
      <c r="A152" s="90"/>
      <c r="B152" s="498" t="str">
        <f>B141</f>
        <v>SCOREKAART - HVC2016</v>
      </c>
      <c r="C152" s="498"/>
      <c r="D152" s="498"/>
      <c r="E152" s="498"/>
      <c r="F152" s="498"/>
      <c r="G152" s="91"/>
      <c r="I152" s="90"/>
      <c r="J152" s="498" t="str">
        <f>B152</f>
        <v>SCOREKAART - HVC2016</v>
      </c>
      <c r="K152" s="498"/>
      <c r="L152" s="498"/>
      <c r="M152" s="498"/>
      <c r="N152" s="498"/>
      <c r="O152" s="91"/>
    </row>
    <row r="153" spans="1:15" ht="11.25" customHeight="1" thickBot="1" x14ac:dyDescent="0.3">
      <c r="A153" s="101"/>
      <c r="B153" s="102"/>
      <c r="C153" s="102"/>
      <c r="D153" s="102"/>
      <c r="E153" s="102"/>
      <c r="F153" s="102"/>
      <c r="G153" s="103"/>
      <c r="I153" s="101"/>
      <c r="J153" s="102"/>
      <c r="K153" s="102"/>
      <c r="L153" s="102"/>
      <c r="M153" s="102"/>
      <c r="N153" s="102"/>
      <c r="O153" s="103"/>
    </row>
    <row r="154" spans="1:15" ht="13.5" customHeight="1" thickBot="1" x14ac:dyDescent="0.3">
      <c r="A154" s="99"/>
      <c r="B154" s="99"/>
      <c r="C154" s="99"/>
      <c r="D154" s="99"/>
      <c r="E154" s="99"/>
      <c r="F154" s="99"/>
      <c r="G154" s="99"/>
      <c r="I154" s="99"/>
      <c r="J154" s="99"/>
      <c r="K154" s="99"/>
      <c r="L154" s="99"/>
      <c r="M154" s="99"/>
      <c r="N154" s="99"/>
      <c r="O154" s="99"/>
    </row>
    <row r="155" spans="1:15" ht="16.5" thickBot="1" x14ac:dyDescent="0.3">
      <c r="A155" s="86"/>
      <c r="B155" s="87"/>
      <c r="C155" s="87"/>
      <c r="D155" s="87"/>
      <c r="E155" s="87"/>
      <c r="F155" s="87"/>
      <c r="G155" s="88"/>
      <c r="I155" s="86"/>
      <c r="J155" s="87"/>
      <c r="K155" s="87"/>
      <c r="L155" s="87"/>
      <c r="M155" s="87"/>
      <c r="N155" s="87"/>
      <c r="O155" s="88"/>
    </row>
    <row r="156" spans="1:15" ht="20.100000000000001" customHeight="1" thickBot="1" x14ac:dyDescent="0.3">
      <c r="A156" s="90"/>
      <c r="B156" s="503" t="str">
        <f>B144</f>
        <v>KWALIFICATIE</v>
      </c>
      <c r="C156" s="504"/>
      <c r="D156" s="505"/>
      <c r="E156" s="106"/>
      <c r="F156" s="105" t="str">
        <f>F144</f>
        <v>RONDE 5</v>
      </c>
      <c r="G156" s="91"/>
      <c r="I156" s="90"/>
      <c r="J156" s="503" t="str">
        <f>B144</f>
        <v>KWALIFICATIE</v>
      </c>
      <c r="K156" s="504"/>
      <c r="L156" s="505"/>
      <c r="M156" s="106"/>
      <c r="N156" s="105" t="str">
        <f>F144</f>
        <v>RONDE 5</v>
      </c>
      <c r="O156" s="91"/>
    </row>
    <row r="157" spans="1:15" ht="9.75" customHeight="1" thickBot="1" x14ac:dyDescent="0.3">
      <c r="A157" s="90"/>
      <c r="B157" s="92"/>
      <c r="C157" s="92"/>
      <c r="D157" s="92"/>
      <c r="E157" s="92"/>
      <c r="F157" s="93"/>
      <c r="G157" s="91"/>
      <c r="I157" s="90"/>
      <c r="J157" s="92"/>
      <c r="K157" s="92"/>
      <c r="L157" s="92"/>
      <c r="M157" s="92"/>
      <c r="N157" s="93"/>
      <c r="O157" s="91"/>
    </row>
    <row r="158" spans="1:15" ht="20.100000000000001" customHeight="1" thickBot="1" x14ac:dyDescent="0.3">
      <c r="A158" s="94"/>
      <c r="B158" s="495" t="str">
        <f>B146</f>
        <v>11:30 - 11:45 uur</v>
      </c>
      <c r="C158" s="496"/>
      <c r="D158" s="496"/>
      <c r="E158" s="497"/>
      <c r="F158" s="104" t="s">
        <v>251</v>
      </c>
      <c r="G158" s="95"/>
      <c r="H158" s="96"/>
      <c r="I158" s="94"/>
      <c r="J158" s="495" t="str">
        <f>B146</f>
        <v>11:30 - 11:45 uur</v>
      </c>
      <c r="K158" s="496"/>
      <c r="L158" s="496"/>
      <c r="M158" s="497"/>
      <c r="N158" s="104" t="s">
        <v>252</v>
      </c>
      <c r="O158" s="95"/>
    </row>
    <row r="159" spans="1:15" ht="13.5" customHeight="1" thickBot="1" x14ac:dyDescent="0.3">
      <c r="A159" s="90"/>
      <c r="B159" s="97"/>
      <c r="C159" s="92"/>
      <c r="D159" s="92"/>
      <c r="E159" s="92"/>
      <c r="F159" s="98"/>
      <c r="G159" s="91"/>
      <c r="I159" s="90"/>
      <c r="J159" s="97"/>
      <c r="K159" s="92"/>
      <c r="L159" s="92"/>
      <c r="M159" s="92"/>
      <c r="N159" s="98"/>
      <c r="O159" s="91"/>
    </row>
    <row r="160" spans="1:15" s="117" customFormat="1" ht="30" customHeight="1" thickBot="1" x14ac:dyDescent="0.35">
      <c r="A160" s="113"/>
      <c r="B160" s="500" t="str">
        <f>KWALIFICATIE!E62</f>
        <v>IAMB&amp;B</v>
      </c>
      <c r="C160" s="501"/>
      <c r="D160" s="502"/>
      <c r="E160" s="114"/>
      <c r="F160" s="115"/>
      <c r="G160" s="116"/>
      <c r="I160" s="113"/>
      <c r="J160" s="500" t="str">
        <f>KWALIFICATIE!E63</f>
        <v>FC EPERNAY</v>
      </c>
      <c r="K160" s="501"/>
      <c r="L160" s="502"/>
      <c r="M160" s="114"/>
      <c r="N160" s="115"/>
      <c r="O160" s="116"/>
    </row>
    <row r="161" spans="1:15" ht="16.5" thickBot="1" x14ac:dyDescent="0.3">
      <c r="A161" s="90"/>
      <c r="B161" s="99"/>
      <c r="C161" s="99"/>
      <c r="D161" s="99"/>
      <c r="E161" s="99"/>
      <c r="F161" s="99"/>
      <c r="G161" s="91"/>
      <c r="I161" s="90"/>
      <c r="J161" s="99"/>
      <c r="K161" s="99"/>
      <c r="L161" s="99"/>
      <c r="M161" s="99"/>
      <c r="N161" s="99"/>
      <c r="O161" s="91"/>
    </row>
    <row r="162" spans="1:15" s="117" customFormat="1" ht="30" customHeight="1" thickBot="1" x14ac:dyDescent="0.35">
      <c r="A162" s="113"/>
      <c r="B162" s="500" t="str">
        <f>KWALIFICATIE!J62</f>
        <v>Veddetero's klunzen</v>
      </c>
      <c r="C162" s="501"/>
      <c r="D162" s="502"/>
      <c r="E162" s="114"/>
      <c r="F162" s="115"/>
      <c r="G162" s="116"/>
      <c r="I162" s="113"/>
      <c r="J162" s="500" t="str">
        <f>KWALIFICATIE!J63</f>
        <v>FC Vondelpark</v>
      </c>
      <c r="K162" s="501"/>
      <c r="L162" s="502"/>
      <c r="M162" s="114"/>
      <c r="N162" s="115"/>
      <c r="O162" s="116"/>
    </row>
    <row r="163" spans="1:15" ht="12" customHeight="1" x14ac:dyDescent="0.25">
      <c r="A163" s="90"/>
      <c r="B163" s="99"/>
      <c r="C163" s="99"/>
      <c r="D163" s="99"/>
      <c r="E163" s="99"/>
      <c r="F163" s="99"/>
      <c r="G163" s="91"/>
      <c r="I163" s="90"/>
      <c r="J163" s="99"/>
      <c r="K163" s="99"/>
      <c r="L163" s="99"/>
      <c r="M163" s="99"/>
      <c r="N163" s="99"/>
      <c r="O163" s="91"/>
    </row>
    <row r="164" spans="1:15" ht="13.5" customHeight="1" x14ac:dyDescent="0.25">
      <c r="A164" s="90"/>
      <c r="B164" s="498" t="str">
        <f>B152</f>
        <v>SCOREKAART - HVC2016</v>
      </c>
      <c r="C164" s="498"/>
      <c r="D164" s="498"/>
      <c r="E164" s="498"/>
      <c r="F164" s="498"/>
      <c r="G164" s="91"/>
      <c r="I164" s="90"/>
      <c r="J164" s="498" t="str">
        <f>B152</f>
        <v>SCOREKAART - HVC2016</v>
      </c>
      <c r="K164" s="498"/>
      <c r="L164" s="498"/>
      <c r="M164" s="498"/>
      <c r="N164" s="498"/>
      <c r="O164" s="91"/>
    </row>
    <row r="165" spans="1:15" ht="11.25" customHeight="1" thickBot="1" x14ac:dyDescent="0.3">
      <c r="A165" s="101"/>
      <c r="B165" s="102"/>
      <c r="C165" s="102"/>
      <c r="D165" s="102"/>
      <c r="E165" s="102"/>
      <c r="F165" s="102"/>
      <c r="G165" s="103"/>
      <c r="I165" s="101"/>
      <c r="J165" s="102"/>
      <c r="K165" s="102"/>
      <c r="L165" s="102"/>
      <c r="M165" s="102"/>
      <c r="N165" s="102"/>
      <c r="O165" s="103"/>
    </row>
    <row r="166" spans="1:15" ht="14.1" customHeight="1" thickBot="1" x14ac:dyDescent="0.3">
      <c r="A166" s="107"/>
      <c r="B166" s="99"/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107"/>
    </row>
    <row r="167" spans="1:15" ht="16.5" customHeight="1" thickBot="1" x14ac:dyDescent="0.3">
      <c r="A167" s="86"/>
      <c r="B167" s="87"/>
      <c r="C167" s="87"/>
      <c r="D167" s="87"/>
      <c r="E167" s="87"/>
      <c r="F167" s="87"/>
      <c r="G167" s="88"/>
      <c r="I167" s="86"/>
      <c r="J167" s="87"/>
      <c r="K167" s="87"/>
      <c r="L167" s="87"/>
      <c r="M167" s="87"/>
      <c r="N167" s="87"/>
      <c r="O167" s="88"/>
    </row>
    <row r="168" spans="1:15" ht="20.100000000000001" customHeight="1" thickBot="1" x14ac:dyDescent="0.3">
      <c r="A168" s="90"/>
      <c r="B168" s="503" t="str">
        <f>B144</f>
        <v>KWALIFICATIE</v>
      </c>
      <c r="C168" s="504"/>
      <c r="D168" s="505"/>
      <c r="E168" s="106"/>
      <c r="F168" s="105" t="str">
        <f>F144</f>
        <v>RONDE 5</v>
      </c>
      <c r="G168" s="91"/>
      <c r="I168" s="90"/>
      <c r="J168" s="503" t="str">
        <f>B144</f>
        <v>KWALIFICATIE</v>
      </c>
      <c r="K168" s="504"/>
      <c r="L168" s="505"/>
      <c r="M168" s="106"/>
      <c r="N168" s="105" t="str">
        <f>F144</f>
        <v>RONDE 5</v>
      </c>
      <c r="O168" s="91"/>
    </row>
    <row r="169" spans="1:15" ht="13.5" customHeight="1" thickBot="1" x14ac:dyDescent="0.3">
      <c r="A169" s="90"/>
      <c r="B169" s="92"/>
      <c r="C169" s="92"/>
      <c r="D169" s="92"/>
      <c r="E169" s="92"/>
      <c r="F169" s="93"/>
      <c r="G169" s="91"/>
      <c r="I169" s="90"/>
      <c r="J169" s="92"/>
      <c r="K169" s="92"/>
      <c r="L169" s="92"/>
      <c r="M169" s="92"/>
      <c r="N169" s="93"/>
      <c r="O169" s="91"/>
    </row>
    <row r="170" spans="1:15" ht="20.100000000000001" customHeight="1" thickBot="1" x14ac:dyDescent="0.3">
      <c r="A170" s="94"/>
      <c r="B170" s="495" t="str">
        <f>B146</f>
        <v>11:30 - 11:45 uur</v>
      </c>
      <c r="C170" s="496"/>
      <c r="D170" s="496"/>
      <c r="E170" s="497"/>
      <c r="F170" s="104" t="s">
        <v>253</v>
      </c>
      <c r="G170" s="95"/>
      <c r="H170" s="96"/>
      <c r="I170" s="94"/>
      <c r="J170" s="495" t="str">
        <f>B146</f>
        <v>11:30 - 11:45 uur</v>
      </c>
      <c r="K170" s="496"/>
      <c r="L170" s="496"/>
      <c r="M170" s="497"/>
      <c r="N170" s="104" t="s">
        <v>254</v>
      </c>
      <c r="O170" s="95"/>
    </row>
    <row r="171" spans="1:15" ht="13.5" customHeight="1" thickBot="1" x14ac:dyDescent="0.3">
      <c r="A171" s="90"/>
      <c r="B171" s="97"/>
      <c r="C171" s="92"/>
      <c r="D171" s="92"/>
      <c r="E171" s="92"/>
      <c r="F171" s="98"/>
      <c r="G171" s="91"/>
      <c r="I171" s="90"/>
      <c r="J171" s="97"/>
      <c r="K171" s="92"/>
      <c r="L171" s="92"/>
      <c r="M171" s="92"/>
      <c r="N171" s="98"/>
      <c r="O171" s="91"/>
    </row>
    <row r="172" spans="1:15" s="117" customFormat="1" ht="30" customHeight="1" thickBot="1" x14ac:dyDescent="0.35">
      <c r="A172" s="113"/>
      <c r="B172" s="500" t="str">
        <f>KWALIFICATIE!E64</f>
        <v>Carte blanche</v>
      </c>
      <c r="C172" s="501"/>
      <c r="D172" s="502"/>
      <c r="E172" s="114"/>
      <c r="F172" s="115"/>
      <c r="G172" s="116"/>
      <c r="I172" s="113"/>
      <c r="J172" s="500" t="str">
        <f>KWALIFICATIE!E65</f>
        <v>IRRIDUCIBILI</v>
      </c>
      <c r="K172" s="501"/>
      <c r="L172" s="502"/>
      <c r="M172" s="114"/>
      <c r="N172" s="115"/>
      <c r="O172" s="116"/>
    </row>
    <row r="173" spans="1:15" ht="16.5" thickBot="1" x14ac:dyDescent="0.3">
      <c r="A173" s="90"/>
      <c r="B173" s="99"/>
      <c r="C173" s="99"/>
      <c r="D173" s="99"/>
      <c r="E173" s="99"/>
      <c r="F173" s="99"/>
      <c r="G173" s="91"/>
      <c r="I173" s="90"/>
      <c r="J173" s="99"/>
      <c r="K173" s="99"/>
      <c r="L173" s="99"/>
      <c r="M173" s="99"/>
      <c r="N173" s="99"/>
      <c r="O173" s="91"/>
    </row>
    <row r="174" spans="1:15" s="117" customFormat="1" ht="30" customHeight="1" thickBot="1" x14ac:dyDescent="0.35">
      <c r="A174" s="113"/>
      <c r="B174" s="500" t="str">
        <f>KWALIFICATIE!J64</f>
        <v>Monnie Represent</v>
      </c>
      <c r="C174" s="501"/>
      <c r="D174" s="502"/>
      <c r="E174" s="114"/>
      <c r="F174" s="115"/>
      <c r="G174" s="116"/>
      <c r="I174" s="113"/>
      <c r="J174" s="500" t="str">
        <f>KWALIFICATIE!J65</f>
        <v>FC Carnabal</v>
      </c>
      <c r="K174" s="501"/>
      <c r="L174" s="502"/>
      <c r="M174" s="114"/>
      <c r="N174" s="115"/>
      <c r="O174" s="116"/>
    </row>
    <row r="175" spans="1:15" ht="12" customHeight="1" x14ac:dyDescent="0.25">
      <c r="A175" s="90"/>
      <c r="B175" s="99"/>
      <c r="C175" s="99"/>
      <c r="D175" s="99"/>
      <c r="E175" s="99"/>
      <c r="F175" s="99"/>
      <c r="G175" s="91"/>
      <c r="I175" s="90"/>
      <c r="J175" s="99"/>
      <c r="K175" s="99"/>
      <c r="L175" s="99"/>
      <c r="M175" s="99"/>
      <c r="N175" s="99"/>
      <c r="O175" s="91"/>
    </row>
    <row r="176" spans="1:15" ht="13.5" customHeight="1" x14ac:dyDescent="0.25">
      <c r="A176" s="90"/>
      <c r="B176" s="498" t="str">
        <f>B152</f>
        <v>SCOREKAART - HVC2016</v>
      </c>
      <c r="C176" s="498"/>
      <c r="D176" s="498"/>
      <c r="E176" s="498"/>
      <c r="F176" s="498"/>
      <c r="G176" s="91"/>
      <c r="I176" s="90"/>
      <c r="J176" s="498" t="str">
        <f>B152</f>
        <v>SCOREKAART - HVC2016</v>
      </c>
      <c r="K176" s="498"/>
      <c r="L176" s="498"/>
      <c r="M176" s="498"/>
      <c r="N176" s="498"/>
      <c r="O176" s="91"/>
    </row>
    <row r="177" spans="1:15" ht="12" customHeight="1" thickBot="1" x14ac:dyDescent="0.3">
      <c r="A177" s="101"/>
      <c r="B177" s="102"/>
      <c r="C177" s="102"/>
      <c r="D177" s="102"/>
      <c r="E177" s="102"/>
      <c r="F177" s="102"/>
      <c r="G177" s="103"/>
      <c r="I177" s="101"/>
      <c r="J177" s="102"/>
      <c r="K177" s="102"/>
      <c r="L177" s="102"/>
      <c r="M177" s="102"/>
      <c r="N177" s="102"/>
      <c r="O177" s="103"/>
    </row>
    <row r="178" spans="1:15" ht="14.1" customHeight="1" thickBot="1" x14ac:dyDescent="0.3">
      <c r="A178" s="107"/>
      <c r="B178" s="99"/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107"/>
    </row>
    <row r="179" spans="1:15" ht="16.5" thickBot="1" x14ac:dyDescent="0.3">
      <c r="A179" s="86"/>
      <c r="B179" s="87"/>
      <c r="C179" s="87"/>
      <c r="D179" s="87"/>
      <c r="E179" s="87"/>
      <c r="F179" s="87"/>
      <c r="G179" s="88"/>
      <c r="I179" s="86"/>
      <c r="J179" s="87"/>
      <c r="K179" s="87"/>
      <c r="L179" s="87"/>
      <c r="M179" s="87"/>
      <c r="N179" s="87"/>
      <c r="O179" s="88"/>
    </row>
    <row r="180" spans="1:15" ht="20.100000000000001" customHeight="1" thickBot="1" x14ac:dyDescent="0.3">
      <c r="A180" s="90"/>
      <c r="B180" s="503" t="str">
        <f>B144</f>
        <v>KWALIFICATIE</v>
      </c>
      <c r="C180" s="504"/>
      <c r="D180" s="505"/>
      <c r="E180" s="106"/>
      <c r="F180" s="136" t="s">
        <v>12</v>
      </c>
      <c r="G180" s="91"/>
      <c r="I180" s="90"/>
      <c r="J180" s="503" t="str">
        <f>B144</f>
        <v>KWALIFICATIE</v>
      </c>
      <c r="K180" s="504"/>
      <c r="L180" s="505"/>
      <c r="M180" s="106"/>
      <c r="N180" s="105" t="str">
        <f>F180</f>
        <v>RONDE 6</v>
      </c>
      <c r="O180" s="91"/>
    </row>
    <row r="181" spans="1:15" ht="13.5" customHeight="1" thickBot="1" x14ac:dyDescent="0.3">
      <c r="A181" s="90"/>
      <c r="B181" s="92"/>
      <c r="C181" s="92"/>
      <c r="D181" s="92"/>
      <c r="E181" s="92"/>
      <c r="F181" s="93"/>
      <c r="G181" s="91"/>
      <c r="I181" s="90"/>
      <c r="J181" s="92"/>
      <c r="K181" s="92"/>
      <c r="L181" s="92"/>
      <c r="M181" s="92"/>
      <c r="N181" s="93"/>
      <c r="O181" s="91"/>
    </row>
    <row r="182" spans="1:15" ht="20.100000000000001" customHeight="1" thickBot="1" x14ac:dyDescent="0.3">
      <c r="A182" s="94"/>
      <c r="B182" s="499" t="str">
        <f>START!B7</f>
        <v>11:45 - 12:00 uur</v>
      </c>
      <c r="C182" s="496"/>
      <c r="D182" s="496"/>
      <c r="E182" s="497"/>
      <c r="F182" s="104" t="s">
        <v>249</v>
      </c>
      <c r="G182" s="95"/>
      <c r="H182" s="96"/>
      <c r="I182" s="94"/>
      <c r="J182" s="499" t="str">
        <f>B182</f>
        <v>11:45 - 12:00 uur</v>
      </c>
      <c r="K182" s="496"/>
      <c r="L182" s="496"/>
      <c r="M182" s="497"/>
      <c r="N182" s="104" t="s">
        <v>250</v>
      </c>
      <c r="O182" s="95"/>
    </row>
    <row r="183" spans="1:15" ht="13.5" customHeight="1" thickBot="1" x14ac:dyDescent="0.3">
      <c r="A183" s="90"/>
      <c r="B183" s="97"/>
      <c r="C183" s="92"/>
      <c r="D183" s="92"/>
      <c r="E183" s="92"/>
      <c r="F183" s="98"/>
      <c r="G183" s="91"/>
      <c r="I183" s="90"/>
      <c r="J183" s="97"/>
      <c r="K183" s="92"/>
      <c r="L183" s="92"/>
      <c r="M183" s="92"/>
      <c r="N183" s="98"/>
      <c r="O183" s="91"/>
    </row>
    <row r="184" spans="1:15" s="117" customFormat="1" ht="30" customHeight="1" thickBot="1" x14ac:dyDescent="0.35">
      <c r="A184" s="113"/>
      <c r="B184" s="500" t="str">
        <f>KWALIFICATIE!T28</f>
        <v>Pilsmaten</v>
      </c>
      <c r="C184" s="501"/>
      <c r="D184" s="502"/>
      <c r="E184" s="114"/>
      <c r="F184" s="115"/>
      <c r="G184" s="116"/>
      <c r="I184" s="113"/>
      <c r="J184" s="500" t="str">
        <f>KWALIFICATIE!T29</f>
        <v>Rap</v>
      </c>
      <c r="K184" s="501"/>
      <c r="L184" s="502"/>
      <c r="M184" s="114"/>
      <c r="N184" s="115"/>
      <c r="O184" s="116"/>
    </row>
    <row r="185" spans="1:15" ht="16.5" thickBot="1" x14ac:dyDescent="0.3">
      <c r="A185" s="90"/>
      <c r="B185" s="99"/>
      <c r="C185" s="99"/>
      <c r="D185" s="99"/>
      <c r="E185" s="99"/>
      <c r="F185" s="99"/>
      <c r="G185" s="91"/>
      <c r="I185" s="90"/>
      <c r="J185" s="99"/>
      <c r="K185" s="99"/>
      <c r="L185" s="99"/>
      <c r="M185" s="99"/>
      <c r="N185" s="99"/>
      <c r="O185" s="91"/>
    </row>
    <row r="186" spans="1:15" s="117" customFormat="1" ht="30" customHeight="1" thickBot="1" x14ac:dyDescent="0.35">
      <c r="A186" s="113"/>
      <c r="B186" s="500" t="str">
        <f>KWALIFICATIE!Y28</f>
        <v>TEC-BTV</v>
      </c>
      <c r="C186" s="501"/>
      <c r="D186" s="502"/>
      <c r="E186" s="114"/>
      <c r="F186" s="115"/>
      <c r="G186" s="116"/>
      <c r="I186" s="113"/>
      <c r="J186" s="500" t="str">
        <f>KWALIFICATIE!Y29</f>
        <v>De Dinkies</v>
      </c>
      <c r="K186" s="501"/>
      <c r="L186" s="502"/>
      <c r="M186" s="114"/>
      <c r="N186" s="115"/>
      <c r="O186" s="116"/>
    </row>
    <row r="187" spans="1:15" ht="12" customHeight="1" x14ac:dyDescent="0.25">
      <c r="A187" s="90"/>
      <c r="B187" s="99"/>
      <c r="C187" s="99"/>
      <c r="D187" s="99"/>
      <c r="E187" s="99"/>
      <c r="F187" s="99"/>
      <c r="G187" s="91"/>
      <c r="I187" s="90"/>
      <c r="J187" s="99"/>
      <c r="K187" s="99"/>
      <c r="L187" s="99"/>
      <c r="M187" s="99"/>
      <c r="N187" s="99"/>
      <c r="O187" s="91"/>
    </row>
    <row r="188" spans="1:15" ht="13.5" customHeight="1" x14ac:dyDescent="0.25">
      <c r="A188" s="90"/>
      <c r="B188" s="498" t="str">
        <f>B152</f>
        <v>SCOREKAART - HVC2016</v>
      </c>
      <c r="C188" s="498"/>
      <c r="D188" s="498"/>
      <c r="E188" s="498"/>
      <c r="F188" s="498"/>
      <c r="G188" s="91"/>
      <c r="I188" s="90"/>
      <c r="J188" s="498" t="str">
        <f>B152</f>
        <v>SCOREKAART - HVC2016</v>
      </c>
      <c r="K188" s="498"/>
      <c r="L188" s="498"/>
      <c r="M188" s="498"/>
      <c r="N188" s="498"/>
      <c r="O188" s="91"/>
    </row>
    <row r="189" spans="1:15" ht="12" customHeight="1" thickBot="1" x14ac:dyDescent="0.3">
      <c r="A189" s="101"/>
      <c r="B189" s="102"/>
      <c r="C189" s="102"/>
      <c r="D189" s="102"/>
      <c r="E189" s="102"/>
      <c r="F189" s="102"/>
      <c r="G189" s="103"/>
      <c r="I189" s="101"/>
      <c r="J189" s="102"/>
      <c r="K189" s="102"/>
      <c r="L189" s="102"/>
      <c r="M189" s="102"/>
      <c r="N189" s="102"/>
      <c r="O189" s="103"/>
    </row>
    <row r="190" spans="1:15" ht="16.5" thickBot="1" x14ac:dyDescent="0.3">
      <c r="A190" s="86"/>
      <c r="B190" s="87"/>
      <c r="C190" s="87"/>
      <c r="D190" s="87"/>
      <c r="E190" s="87"/>
      <c r="F190" s="87"/>
      <c r="G190" s="88"/>
      <c r="I190" s="86"/>
      <c r="J190" s="87"/>
      <c r="K190" s="87"/>
      <c r="L190" s="87"/>
      <c r="M190" s="87"/>
      <c r="N190" s="87"/>
      <c r="O190" s="88"/>
    </row>
    <row r="191" spans="1:15" ht="20.25" customHeight="1" thickBot="1" x14ac:dyDescent="0.3">
      <c r="A191" s="90"/>
      <c r="B191" s="506" t="str">
        <f>START!D6</f>
        <v>KWALIFICATIE</v>
      </c>
      <c r="C191" s="504"/>
      <c r="D191" s="505"/>
      <c r="E191" s="106"/>
      <c r="F191" s="105" t="str">
        <f>F180</f>
        <v>RONDE 6</v>
      </c>
      <c r="G191" s="91"/>
      <c r="I191" s="90"/>
      <c r="J191" s="503" t="str">
        <f>B191</f>
        <v>KWALIFICATIE</v>
      </c>
      <c r="K191" s="504"/>
      <c r="L191" s="505"/>
      <c r="M191" s="106"/>
      <c r="N191" s="105" t="str">
        <f>F191</f>
        <v>RONDE 6</v>
      </c>
      <c r="O191" s="91"/>
    </row>
    <row r="192" spans="1:15" ht="9.75" customHeight="1" thickBot="1" x14ac:dyDescent="0.3">
      <c r="A192" s="90"/>
      <c r="B192" s="92"/>
      <c r="C192" s="92"/>
      <c r="D192" s="92"/>
      <c r="E192" s="92"/>
      <c r="F192" s="93"/>
      <c r="G192" s="91"/>
      <c r="I192" s="90"/>
      <c r="J192" s="92"/>
      <c r="K192" s="92"/>
      <c r="L192" s="92"/>
      <c r="M192" s="92"/>
      <c r="N192" s="93"/>
      <c r="O192" s="91"/>
    </row>
    <row r="193" spans="1:15" s="96" customFormat="1" ht="19.5" customHeight="1" thickBot="1" x14ac:dyDescent="0.3">
      <c r="A193" s="94"/>
      <c r="B193" s="499" t="str">
        <f>B182</f>
        <v>11:45 - 12:00 uur</v>
      </c>
      <c r="C193" s="496"/>
      <c r="D193" s="496"/>
      <c r="E193" s="497"/>
      <c r="F193" s="104" t="s">
        <v>251</v>
      </c>
      <c r="G193" s="95"/>
      <c r="I193" s="94"/>
      <c r="J193" s="495" t="str">
        <f>B193</f>
        <v>11:45 - 12:00 uur</v>
      </c>
      <c r="K193" s="496"/>
      <c r="L193" s="496"/>
      <c r="M193" s="497"/>
      <c r="N193" s="104" t="s">
        <v>252</v>
      </c>
      <c r="O193" s="95"/>
    </row>
    <row r="194" spans="1:15" ht="14.25" customHeight="1" thickBot="1" x14ac:dyDescent="0.3">
      <c r="A194" s="90"/>
      <c r="B194" s="97"/>
      <c r="C194" s="92"/>
      <c r="D194" s="92"/>
      <c r="E194" s="92"/>
      <c r="F194" s="98"/>
      <c r="G194" s="91"/>
      <c r="I194" s="90"/>
      <c r="J194" s="97"/>
      <c r="K194" s="92"/>
      <c r="L194" s="92"/>
      <c r="M194" s="92"/>
      <c r="N194" s="98"/>
      <c r="O194" s="91"/>
    </row>
    <row r="195" spans="1:15" s="117" customFormat="1" ht="30" customHeight="1" thickBot="1" x14ac:dyDescent="0.35">
      <c r="A195" s="113"/>
      <c r="B195" s="500" t="str">
        <f>KWALIFICATIE!T30</f>
        <v>Scherp Online</v>
      </c>
      <c r="C195" s="501"/>
      <c r="D195" s="502"/>
      <c r="E195" s="114"/>
      <c r="F195" s="115"/>
      <c r="G195" s="116"/>
      <c r="I195" s="113"/>
      <c r="J195" s="500" t="str">
        <f>KWALIFICATIE!T31</f>
        <v>Fred Bacon Zalf-fabriekje</v>
      </c>
      <c r="K195" s="501"/>
      <c r="L195" s="502"/>
      <c r="M195" s="114"/>
      <c r="N195" s="115"/>
      <c r="O195" s="116"/>
    </row>
    <row r="196" spans="1:15" ht="16.5" thickBot="1" x14ac:dyDescent="0.3">
      <c r="A196" s="90"/>
      <c r="B196" s="99"/>
      <c r="C196" s="99"/>
      <c r="D196" s="99"/>
      <c r="E196" s="99"/>
      <c r="F196" s="99"/>
      <c r="G196" s="91"/>
      <c r="I196" s="90"/>
      <c r="J196" s="99"/>
      <c r="K196" s="99"/>
      <c r="L196" s="99"/>
      <c r="M196" s="99"/>
      <c r="N196" s="99"/>
      <c r="O196" s="91"/>
    </row>
    <row r="197" spans="1:15" s="117" customFormat="1" ht="30" customHeight="1" thickBot="1" x14ac:dyDescent="0.35">
      <c r="A197" s="113"/>
      <c r="B197" s="500" t="str">
        <f>KWALIFICATIE!Y30</f>
        <v>#illuminaticonfirmed</v>
      </c>
      <c r="C197" s="501"/>
      <c r="D197" s="502"/>
      <c r="E197" s="114"/>
      <c r="F197" s="115"/>
      <c r="G197" s="116"/>
      <c r="I197" s="113"/>
      <c r="J197" s="500" t="str">
        <f>KWALIFICATIE!Y31</f>
        <v>Team Bublé</v>
      </c>
      <c r="K197" s="501"/>
      <c r="L197" s="502"/>
      <c r="M197" s="114"/>
      <c r="N197" s="115"/>
      <c r="O197" s="116"/>
    </row>
    <row r="198" spans="1:15" ht="12" customHeight="1" x14ac:dyDescent="0.25">
      <c r="A198" s="90"/>
      <c r="B198" s="99"/>
      <c r="C198" s="99"/>
      <c r="D198" s="99"/>
      <c r="E198" s="99"/>
      <c r="F198" s="99"/>
      <c r="G198" s="91"/>
      <c r="I198" s="90"/>
      <c r="J198" s="99"/>
      <c r="K198" s="99"/>
      <c r="L198" s="99"/>
      <c r="M198" s="99"/>
      <c r="N198" s="99"/>
      <c r="O198" s="91"/>
    </row>
    <row r="199" spans="1:15" ht="13.5" customHeight="1" x14ac:dyDescent="0.25">
      <c r="A199" s="90"/>
      <c r="B199" s="498" t="str">
        <f>B188</f>
        <v>SCOREKAART - HVC2016</v>
      </c>
      <c r="C199" s="498"/>
      <c r="D199" s="498"/>
      <c r="E199" s="498"/>
      <c r="F199" s="498"/>
      <c r="G199" s="91"/>
      <c r="I199" s="90"/>
      <c r="J199" s="498" t="str">
        <f>B199</f>
        <v>SCOREKAART - HVC2016</v>
      </c>
      <c r="K199" s="498"/>
      <c r="L199" s="498"/>
      <c r="M199" s="498"/>
      <c r="N199" s="498"/>
      <c r="O199" s="91"/>
    </row>
    <row r="200" spans="1:15" ht="11.25" customHeight="1" thickBot="1" x14ac:dyDescent="0.3">
      <c r="A200" s="101"/>
      <c r="B200" s="102"/>
      <c r="C200" s="102"/>
      <c r="D200" s="102"/>
      <c r="E200" s="102"/>
      <c r="F200" s="102"/>
      <c r="G200" s="103"/>
      <c r="I200" s="101"/>
      <c r="J200" s="102"/>
      <c r="K200" s="102"/>
      <c r="L200" s="102"/>
      <c r="M200" s="102"/>
      <c r="N200" s="102"/>
      <c r="O200" s="103"/>
    </row>
    <row r="201" spans="1:15" ht="13.5" customHeight="1" thickBot="1" x14ac:dyDescent="0.3">
      <c r="A201" s="99"/>
      <c r="B201" s="99"/>
      <c r="C201" s="99"/>
      <c r="D201" s="99"/>
      <c r="E201" s="99"/>
      <c r="F201" s="99"/>
      <c r="G201" s="99"/>
      <c r="I201" s="99"/>
      <c r="J201" s="99"/>
      <c r="K201" s="99"/>
      <c r="L201" s="99"/>
      <c r="M201" s="99"/>
      <c r="N201" s="99"/>
      <c r="O201" s="99"/>
    </row>
    <row r="202" spans="1:15" ht="16.5" thickBot="1" x14ac:dyDescent="0.3">
      <c r="A202" s="86"/>
      <c r="B202" s="87"/>
      <c r="C202" s="87"/>
      <c r="D202" s="87"/>
      <c r="E202" s="87"/>
      <c r="F202" s="87"/>
      <c r="G202" s="88"/>
      <c r="I202" s="86"/>
      <c r="J202" s="87"/>
      <c r="K202" s="87"/>
      <c r="L202" s="87"/>
      <c r="M202" s="87"/>
      <c r="N202" s="87"/>
      <c r="O202" s="88"/>
    </row>
    <row r="203" spans="1:15" ht="20.100000000000001" customHeight="1" thickBot="1" x14ac:dyDescent="0.3">
      <c r="A203" s="90"/>
      <c r="B203" s="503" t="str">
        <f>B191</f>
        <v>KWALIFICATIE</v>
      </c>
      <c r="C203" s="504"/>
      <c r="D203" s="505"/>
      <c r="E203" s="106"/>
      <c r="F203" s="105" t="str">
        <f>F191</f>
        <v>RONDE 6</v>
      </c>
      <c r="G203" s="91"/>
      <c r="I203" s="90"/>
      <c r="J203" s="503" t="str">
        <f>B191</f>
        <v>KWALIFICATIE</v>
      </c>
      <c r="K203" s="504"/>
      <c r="L203" s="505"/>
      <c r="M203" s="106"/>
      <c r="N203" s="105" t="str">
        <f>F191</f>
        <v>RONDE 6</v>
      </c>
      <c r="O203" s="91"/>
    </row>
    <row r="204" spans="1:15" ht="9.75" customHeight="1" thickBot="1" x14ac:dyDescent="0.3">
      <c r="A204" s="90"/>
      <c r="B204" s="92"/>
      <c r="C204" s="92"/>
      <c r="D204" s="92"/>
      <c r="E204" s="92"/>
      <c r="F204" s="93"/>
      <c r="G204" s="91"/>
      <c r="I204" s="90"/>
      <c r="J204" s="92"/>
      <c r="K204" s="92"/>
      <c r="L204" s="92"/>
      <c r="M204" s="92"/>
      <c r="N204" s="93"/>
      <c r="O204" s="91"/>
    </row>
    <row r="205" spans="1:15" ht="20.100000000000001" customHeight="1" thickBot="1" x14ac:dyDescent="0.3">
      <c r="A205" s="94"/>
      <c r="B205" s="495" t="str">
        <f>B193</f>
        <v>11:45 - 12:00 uur</v>
      </c>
      <c r="C205" s="496"/>
      <c r="D205" s="496"/>
      <c r="E205" s="497"/>
      <c r="F205" s="104" t="s">
        <v>253</v>
      </c>
      <c r="G205" s="95"/>
      <c r="H205" s="96"/>
      <c r="I205" s="94"/>
      <c r="J205" s="495" t="str">
        <f>B193</f>
        <v>11:45 - 12:00 uur</v>
      </c>
      <c r="K205" s="496"/>
      <c r="L205" s="496"/>
      <c r="M205" s="497"/>
      <c r="N205" s="104" t="s">
        <v>254</v>
      </c>
      <c r="O205" s="95"/>
    </row>
    <row r="206" spans="1:15" ht="13.5" customHeight="1" thickBot="1" x14ac:dyDescent="0.3">
      <c r="A206" s="90"/>
      <c r="B206" s="97"/>
      <c r="C206" s="92"/>
      <c r="D206" s="92"/>
      <c r="E206" s="92"/>
      <c r="F206" s="98"/>
      <c r="G206" s="91"/>
      <c r="I206" s="90"/>
      <c r="J206" s="97"/>
      <c r="K206" s="92"/>
      <c r="L206" s="92"/>
      <c r="M206" s="92"/>
      <c r="N206" s="98"/>
      <c r="O206" s="91"/>
    </row>
    <row r="207" spans="1:15" s="117" customFormat="1" ht="30" customHeight="1" thickBot="1" x14ac:dyDescent="0.35">
      <c r="A207" s="113"/>
      <c r="B207" s="500" t="str">
        <f>KWALIFICATIE!T32</f>
        <v>Correctie veld 4</v>
      </c>
      <c r="C207" s="501"/>
      <c r="D207" s="502"/>
      <c r="E207" s="114"/>
      <c r="F207" s="115"/>
      <c r="G207" s="116"/>
      <c r="I207" s="113"/>
      <c r="J207" s="500" t="str">
        <f>KWALIFICATIE!T33</f>
        <v>Swiffie 5</v>
      </c>
      <c r="K207" s="501"/>
      <c r="L207" s="502"/>
      <c r="M207" s="114"/>
      <c r="N207" s="115"/>
      <c r="O207" s="116"/>
    </row>
    <row r="208" spans="1:15" ht="16.5" thickBot="1" x14ac:dyDescent="0.3">
      <c r="A208" s="90"/>
      <c r="B208" s="99"/>
      <c r="C208" s="99"/>
      <c r="D208" s="99"/>
      <c r="E208" s="99"/>
      <c r="F208" s="99"/>
      <c r="G208" s="91"/>
      <c r="I208" s="90"/>
      <c r="J208" s="99"/>
      <c r="K208" s="99"/>
      <c r="L208" s="99"/>
      <c r="M208" s="99"/>
      <c r="N208" s="99"/>
      <c r="O208" s="91"/>
    </row>
    <row r="209" spans="1:15" s="117" customFormat="1" ht="30" customHeight="1" thickBot="1" x14ac:dyDescent="0.35">
      <c r="A209" s="113"/>
      <c r="B209" s="500" t="str">
        <f>KWALIFICATIE!Y32</f>
        <v>Patti don't shout @ me</v>
      </c>
      <c r="C209" s="501"/>
      <c r="D209" s="502"/>
      <c r="E209" s="114"/>
      <c r="F209" s="115"/>
      <c r="G209" s="116"/>
      <c r="I209" s="113"/>
      <c r="J209" s="359" t="str">
        <f>KWALIFICATIE!Y33</f>
        <v>Sporting Almere</v>
      </c>
      <c r="K209" s="360"/>
      <c r="L209" s="361"/>
      <c r="M209" s="114"/>
      <c r="N209" s="115"/>
      <c r="O209" s="116"/>
    </row>
    <row r="210" spans="1:15" ht="12" customHeight="1" x14ac:dyDescent="0.25">
      <c r="A210" s="90"/>
      <c r="B210" s="99"/>
      <c r="C210" s="99"/>
      <c r="D210" s="99"/>
      <c r="E210" s="99"/>
      <c r="F210" s="99"/>
      <c r="G210" s="91"/>
      <c r="I210" s="90"/>
      <c r="J210" s="99"/>
      <c r="K210" s="99"/>
      <c r="L210" s="99"/>
      <c r="M210" s="99"/>
      <c r="N210" s="99"/>
      <c r="O210" s="91"/>
    </row>
    <row r="211" spans="1:15" ht="13.5" customHeight="1" x14ac:dyDescent="0.25">
      <c r="A211" s="90"/>
      <c r="B211" s="498" t="str">
        <f>B199</f>
        <v>SCOREKAART - HVC2016</v>
      </c>
      <c r="C211" s="498"/>
      <c r="D211" s="498"/>
      <c r="E211" s="498"/>
      <c r="F211" s="498"/>
      <c r="G211" s="91"/>
      <c r="I211" s="90"/>
      <c r="J211" s="498" t="str">
        <f>B199</f>
        <v>SCOREKAART - HVC2016</v>
      </c>
      <c r="K211" s="498"/>
      <c r="L211" s="498"/>
      <c r="M211" s="498"/>
      <c r="N211" s="498"/>
      <c r="O211" s="91"/>
    </row>
    <row r="212" spans="1:15" ht="11.25" customHeight="1" thickBot="1" x14ac:dyDescent="0.3">
      <c r="A212" s="101"/>
      <c r="B212" s="102"/>
      <c r="C212" s="102"/>
      <c r="D212" s="102"/>
      <c r="E212" s="102"/>
      <c r="F212" s="102"/>
      <c r="G212" s="103"/>
      <c r="I212" s="101"/>
      <c r="J212" s="102"/>
      <c r="K212" s="102"/>
      <c r="L212" s="102"/>
      <c r="M212" s="102"/>
      <c r="N212" s="102"/>
      <c r="O212" s="103"/>
    </row>
    <row r="213" spans="1:15" ht="14.1" customHeight="1" thickBot="1" x14ac:dyDescent="0.3">
      <c r="A213" s="107"/>
      <c r="B213" s="99"/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107"/>
    </row>
    <row r="214" spans="1:15" ht="16.5" customHeight="1" thickBot="1" x14ac:dyDescent="0.3">
      <c r="A214" s="86"/>
      <c r="B214" s="87"/>
      <c r="C214" s="87"/>
      <c r="D214" s="87"/>
      <c r="E214" s="87"/>
      <c r="F214" s="87"/>
      <c r="G214" s="88"/>
      <c r="I214" s="86"/>
      <c r="J214" s="87"/>
      <c r="K214" s="87"/>
      <c r="L214" s="87"/>
      <c r="M214" s="87"/>
      <c r="N214" s="87"/>
      <c r="O214" s="88"/>
    </row>
    <row r="215" spans="1:15" ht="20.100000000000001" customHeight="1" thickBot="1" x14ac:dyDescent="0.3">
      <c r="A215" s="90"/>
      <c r="B215" s="503" t="str">
        <f>B191</f>
        <v>KWALIFICATIE</v>
      </c>
      <c r="C215" s="504"/>
      <c r="D215" s="505"/>
      <c r="E215" s="106"/>
      <c r="F215" s="136" t="s">
        <v>24</v>
      </c>
      <c r="G215" s="91"/>
      <c r="I215" s="90"/>
      <c r="J215" s="503" t="str">
        <f>B191</f>
        <v>KWALIFICATIE</v>
      </c>
      <c r="K215" s="504"/>
      <c r="L215" s="505"/>
      <c r="M215" s="106"/>
      <c r="N215" s="105" t="str">
        <f>F215</f>
        <v>RONDE 7</v>
      </c>
      <c r="O215" s="91"/>
    </row>
    <row r="216" spans="1:15" ht="13.5" customHeight="1" thickBot="1" x14ac:dyDescent="0.3">
      <c r="A216" s="90"/>
      <c r="B216" s="92"/>
      <c r="C216" s="92"/>
      <c r="D216" s="92"/>
      <c r="E216" s="92"/>
      <c r="F216" s="93"/>
      <c r="G216" s="91"/>
      <c r="I216" s="90"/>
      <c r="J216" s="92"/>
      <c r="K216" s="92"/>
      <c r="L216" s="92"/>
      <c r="M216" s="92"/>
      <c r="N216" s="93"/>
      <c r="O216" s="91"/>
    </row>
    <row r="217" spans="1:15" ht="20.100000000000001" customHeight="1" thickBot="1" x14ac:dyDescent="0.3">
      <c r="A217" s="94"/>
      <c r="B217" s="495" t="str">
        <f>START!B8</f>
        <v>12:00 - 12:15 uur</v>
      </c>
      <c r="C217" s="496"/>
      <c r="D217" s="496"/>
      <c r="E217" s="497"/>
      <c r="F217" s="104" t="s">
        <v>249</v>
      </c>
      <c r="G217" s="95"/>
      <c r="H217" s="96"/>
      <c r="I217" s="94"/>
      <c r="J217" s="495" t="str">
        <f>B217</f>
        <v>12:00 - 12:15 uur</v>
      </c>
      <c r="K217" s="496"/>
      <c r="L217" s="496"/>
      <c r="M217" s="497"/>
      <c r="N217" s="104" t="s">
        <v>250</v>
      </c>
      <c r="O217" s="95"/>
    </row>
    <row r="218" spans="1:15" ht="13.5" customHeight="1" thickBot="1" x14ac:dyDescent="0.3">
      <c r="A218" s="90"/>
      <c r="B218" s="97"/>
      <c r="C218" s="92"/>
      <c r="D218" s="92"/>
      <c r="E218" s="92"/>
      <c r="F218" s="98"/>
      <c r="G218" s="91"/>
      <c r="I218" s="90"/>
      <c r="J218" s="97"/>
      <c r="K218" s="92"/>
      <c r="L218" s="92"/>
      <c r="M218" s="92"/>
      <c r="N218" s="98"/>
      <c r="O218" s="91"/>
    </row>
    <row r="219" spans="1:15" s="117" customFormat="1" ht="30" customHeight="1" thickBot="1" x14ac:dyDescent="0.35">
      <c r="A219" s="113"/>
      <c r="B219" s="500" t="str">
        <f>KWALIFICATIE!T36</f>
        <v>De Westfriesies</v>
      </c>
      <c r="C219" s="501"/>
      <c r="D219" s="502"/>
      <c r="E219" s="114"/>
      <c r="F219" s="115"/>
      <c r="G219" s="116"/>
      <c r="I219" s="113"/>
      <c r="J219" s="500" t="str">
        <f>KWALIFICATIE!T37</f>
        <v>KFC zaterdag VR 35+</v>
      </c>
      <c r="K219" s="501"/>
      <c r="L219" s="502"/>
      <c r="M219" s="114"/>
      <c r="N219" s="115"/>
      <c r="O219" s="116"/>
    </row>
    <row r="220" spans="1:15" ht="16.5" thickBot="1" x14ac:dyDescent="0.3">
      <c r="A220" s="90"/>
      <c r="B220" s="99"/>
      <c r="C220" s="99"/>
      <c r="D220" s="99"/>
      <c r="E220" s="99"/>
      <c r="F220" s="99"/>
      <c r="G220" s="91"/>
      <c r="I220" s="90"/>
      <c r="J220" s="99"/>
      <c r="K220" s="99"/>
      <c r="L220" s="99"/>
      <c r="M220" s="99"/>
      <c r="N220" s="99"/>
      <c r="O220" s="91"/>
    </row>
    <row r="221" spans="1:15" s="117" customFormat="1" ht="30" customHeight="1" thickBot="1" x14ac:dyDescent="0.35">
      <c r="A221" s="113"/>
      <c r="B221" s="500" t="str">
        <f>KWALIFICATIE!Y36</f>
        <v>AMVJ</v>
      </c>
      <c r="C221" s="501"/>
      <c r="D221" s="502"/>
      <c r="E221" s="114"/>
      <c r="F221" s="115"/>
      <c r="G221" s="116"/>
      <c r="I221" s="113"/>
      <c r="J221" s="500" t="str">
        <f>KWALIFICATIE!Y37</f>
        <v>Fortius 1 dames 35+</v>
      </c>
      <c r="K221" s="501"/>
      <c r="L221" s="502"/>
      <c r="M221" s="114"/>
      <c r="N221" s="115"/>
      <c r="O221" s="116"/>
    </row>
    <row r="222" spans="1:15" ht="12" customHeight="1" x14ac:dyDescent="0.25">
      <c r="A222" s="90"/>
      <c r="B222" s="99"/>
      <c r="C222" s="99"/>
      <c r="D222" s="99"/>
      <c r="E222" s="99"/>
      <c r="F222" s="99"/>
      <c r="G222" s="91"/>
      <c r="I222" s="90"/>
      <c r="J222" s="99"/>
      <c r="K222" s="99"/>
      <c r="L222" s="99"/>
      <c r="M222" s="99"/>
      <c r="N222" s="99"/>
      <c r="O222" s="91"/>
    </row>
    <row r="223" spans="1:15" ht="13.5" customHeight="1" x14ac:dyDescent="0.25">
      <c r="A223" s="90"/>
      <c r="B223" s="498" t="str">
        <f>B199</f>
        <v>SCOREKAART - HVC2016</v>
      </c>
      <c r="C223" s="498"/>
      <c r="D223" s="498"/>
      <c r="E223" s="498"/>
      <c r="F223" s="498"/>
      <c r="G223" s="91"/>
      <c r="I223" s="90"/>
      <c r="J223" s="498" t="str">
        <f>B199</f>
        <v>SCOREKAART - HVC2016</v>
      </c>
      <c r="K223" s="498"/>
      <c r="L223" s="498"/>
      <c r="M223" s="498"/>
      <c r="N223" s="498"/>
      <c r="O223" s="91"/>
    </row>
    <row r="224" spans="1:15" ht="12" customHeight="1" thickBot="1" x14ac:dyDescent="0.3">
      <c r="A224" s="101"/>
      <c r="B224" s="102"/>
      <c r="C224" s="102"/>
      <c r="D224" s="102"/>
      <c r="E224" s="102"/>
      <c r="F224" s="102"/>
      <c r="G224" s="103"/>
      <c r="I224" s="101"/>
      <c r="J224" s="102"/>
      <c r="K224" s="102"/>
      <c r="L224" s="102"/>
      <c r="M224" s="102"/>
      <c r="N224" s="102"/>
      <c r="O224" s="103"/>
    </row>
    <row r="225" spans="1:15" ht="14.1" customHeight="1" thickBot="1" x14ac:dyDescent="0.3">
      <c r="A225" s="107"/>
      <c r="B225" s="99"/>
      <c r="C225" s="99"/>
      <c r="D225" s="99"/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107"/>
    </row>
    <row r="226" spans="1:15" ht="16.5" thickBot="1" x14ac:dyDescent="0.3">
      <c r="A226" s="86"/>
      <c r="B226" s="87"/>
      <c r="C226" s="87"/>
      <c r="D226" s="87"/>
      <c r="E226" s="87"/>
      <c r="F226" s="87"/>
      <c r="G226" s="88"/>
      <c r="I226" s="86"/>
      <c r="J226" s="87"/>
      <c r="K226" s="87"/>
      <c r="L226" s="87"/>
      <c r="M226" s="87"/>
      <c r="N226" s="87"/>
      <c r="O226" s="88"/>
    </row>
    <row r="227" spans="1:15" ht="20.100000000000001" customHeight="1" thickBot="1" x14ac:dyDescent="0.3">
      <c r="A227" s="90"/>
      <c r="B227" s="503" t="str">
        <f>B191</f>
        <v>KWALIFICATIE</v>
      </c>
      <c r="C227" s="504"/>
      <c r="D227" s="505"/>
      <c r="E227" s="106"/>
      <c r="F227" s="105" t="str">
        <f>F215</f>
        <v>RONDE 7</v>
      </c>
      <c r="G227" s="91"/>
      <c r="I227" s="90"/>
      <c r="J227" s="503" t="str">
        <f>B191</f>
        <v>KWALIFICATIE</v>
      </c>
      <c r="K227" s="504"/>
      <c r="L227" s="505"/>
      <c r="M227" s="106"/>
      <c r="N227" s="105" t="str">
        <f>F215</f>
        <v>RONDE 7</v>
      </c>
      <c r="O227" s="91"/>
    </row>
    <row r="228" spans="1:15" ht="13.5" customHeight="1" thickBot="1" x14ac:dyDescent="0.3">
      <c r="A228" s="90"/>
      <c r="B228" s="92"/>
      <c r="C228" s="92"/>
      <c r="D228" s="92"/>
      <c r="E228" s="92"/>
      <c r="F228" s="93"/>
      <c r="G228" s="91"/>
      <c r="I228" s="90"/>
      <c r="J228" s="92"/>
      <c r="K228" s="92"/>
      <c r="L228" s="92"/>
      <c r="M228" s="92"/>
      <c r="N228" s="93"/>
      <c r="O228" s="91"/>
    </row>
    <row r="229" spans="1:15" ht="20.100000000000001" customHeight="1" thickBot="1" x14ac:dyDescent="0.3">
      <c r="A229" s="94"/>
      <c r="B229" s="495" t="str">
        <f>B217</f>
        <v>12:00 - 12:15 uur</v>
      </c>
      <c r="C229" s="496"/>
      <c r="D229" s="496"/>
      <c r="E229" s="497"/>
      <c r="F229" s="104" t="s">
        <v>251</v>
      </c>
      <c r="G229" s="95"/>
      <c r="H229" s="96"/>
      <c r="I229" s="94"/>
      <c r="J229" s="495" t="str">
        <f>B217</f>
        <v>12:00 - 12:15 uur</v>
      </c>
      <c r="K229" s="496"/>
      <c r="L229" s="496"/>
      <c r="M229" s="497"/>
      <c r="N229" s="104" t="s">
        <v>252</v>
      </c>
      <c r="O229" s="95"/>
    </row>
    <row r="230" spans="1:15" ht="13.5" customHeight="1" thickBot="1" x14ac:dyDescent="0.3">
      <c r="A230" s="90"/>
      <c r="B230" s="97"/>
      <c r="C230" s="92"/>
      <c r="D230" s="92"/>
      <c r="E230" s="92"/>
      <c r="F230" s="98"/>
      <c r="G230" s="91"/>
      <c r="I230" s="90"/>
      <c r="J230" s="97"/>
      <c r="K230" s="92"/>
      <c r="L230" s="92"/>
      <c r="M230" s="92"/>
      <c r="N230" s="98"/>
      <c r="O230" s="91"/>
    </row>
    <row r="231" spans="1:15" s="117" customFormat="1" ht="30" customHeight="1" thickBot="1" x14ac:dyDescent="0.35">
      <c r="A231" s="113"/>
      <c r="B231" s="500" t="str">
        <f>KWALIFICATIE!T38</f>
        <v>FC Isjeneefer</v>
      </c>
      <c r="C231" s="501"/>
      <c r="D231" s="502"/>
      <c r="E231" s="114"/>
      <c r="F231" s="115"/>
      <c r="G231" s="116"/>
      <c r="I231" s="113"/>
      <c r="J231" s="500">
        <f>KWALIFICATIE!T39</f>
        <v>0</v>
      </c>
      <c r="K231" s="501"/>
      <c r="L231" s="502"/>
      <c r="M231" s="114"/>
      <c r="N231" s="115"/>
      <c r="O231" s="116"/>
    </row>
    <row r="232" spans="1:15" ht="16.5" thickBot="1" x14ac:dyDescent="0.3">
      <c r="A232" s="90"/>
      <c r="B232" s="99"/>
      <c r="C232" s="99"/>
      <c r="D232" s="99"/>
      <c r="E232" s="99"/>
      <c r="F232" s="99"/>
      <c r="G232" s="91"/>
      <c r="I232" s="90"/>
      <c r="J232" s="99"/>
      <c r="K232" s="99"/>
      <c r="L232" s="99"/>
      <c r="M232" s="99"/>
      <c r="N232" s="99"/>
      <c r="O232" s="91"/>
    </row>
    <row r="233" spans="1:15" s="117" customFormat="1" ht="30" customHeight="1" thickBot="1" x14ac:dyDescent="0.35">
      <c r="A233" s="113"/>
      <c r="B233" s="500" t="str">
        <f>KWALIFICATIE!Y38</f>
        <v>Orion</v>
      </c>
      <c r="C233" s="501"/>
      <c r="D233" s="502"/>
      <c r="E233" s="114"/>
      <c r="F233" s="115"/>
      <c r="G233" s="116"/>
      <c r="I233" s="113"/>
      <c r="J233" s="500">
        <f>KWALIFICATIE!Y39</f>
        <v>0</v>
      </c>
      <c r="K233" s="501"/>
      <c r="L233" s="502"/>
      <c r="M233" s="114"/>
      <c r="N233" s="115"/>
      <c r="O233" s="116"/>
    </row>
    <row r="234" spans="1:15" ht="12" customHeight="1" x14ac:dyDescent="0.25">
      <c r="A234" s="90"/>
      <c r="B234" s="99"/>
      <c r="C234" s="99"/>
      <c r="D234" s="99"/>
      <c r="E234" s="99"/>
      <c r="F234" s="99"/>
      <c r="G234" s="91"/>
      <c r="I234" s="90"/>
      <c r="J234" s="99"/>
      <c r="K234" s="99"/>
      <c r="L234" s="99"/>
      <c r="M234" s="99"/>
      <c r="N234" s="99"/>
      <c r="O234" s="91"/>
    </row>
    <row r="235" spans="1:15" ht="13.5" customHeight="1" x14ac:dyDescent="0.25">
      <c r="A235" s="90"/>
      <c r="B235" s="498" t="str">
        <f>B199</f>
        <v>SCOREKAART - HVC2016</v>
      </c>
      <c r="C235" s="498"/>
      <c r="D235" s="498"/>
      <c r="E235" s="498"/>
      <c r="F235" s="498"/>
      <c r="G235" s="91"/>
      <c r="I235" s="90"/>
      <c r="J235" s="498" t="str">
        <f>B199</f>
        <v>SCOREKAART - HVC2016</v>
      </c>
      <c r="K235" s="498"/>
      <c r="L235" s="498"/>
      <c r="M235" s="498"/>
      <c r="N235" s="498"/>
      <c r="O235" s="91"/>
    </row>
    <row r="236" spans="1:15" ht="12" customHeight="1" thickBot="1" x14ac:dyDescent="0.3">
      <c r="A236" s="101"/>
      <c r="B236" s="102"/>
      <c r="C236" s="102"/>
      <c r="D236" s="102"/>
      <c r="E236" s="102"/>
      <c r="F236" s="102"/>
      <c r="G236" s="103"/>
      <c r="I236" s="101"/>
      <c r="J236" s="102"/>
      <c r="K236" s="102"/>
      <c r="L236" s="102"/>
      <c r="M236" s="102"/>
      <c r="N236" s="102"/>
      <c r="O236" s="103"/>
    </row>
    <row r="237" spans="1:15" ht="16.5" thickBot="1" x14ac:dyDescent="0.3">
      <c r="A237" s="86"/>
      <c r="B237" s="87"/>
      <c r="C237" s="87"/>
      <c r="D237" s="87"/>
      <c r="E237" s="87"/>
      <c r="F237" s="87"/>
      <c r="G237" s="88"/>
      <c r="I237" s="86"/>
      <c r="J237" s="87"/>
      <c r="K237" s="87"/>
      <c r="L237" s="87"/>
      <c r="M237" s="87"/>
      <c r="N237" s="87"/>
      <c r="O237" s="88"/>
    </row>
    <row r="238" spans="1:15" ht="20.25" customHeight="1" thickBot="1" x14ac:dyDescent="0.3">
      <c r="A238" s="90"/>
      <c r="B238" s="506" t="str">
        <f>START!D7</f>
        <v>KWALIFICATIE</v>
      </c>
      <c r="C238" s="504"/>
      <c r="D238" s="505"/>
      <c r="E238" s="106"/>
      <c r="F238" s="105" t="str">
        <f>F215</f>
        <v>RONDE 7</v>
      </c>
      <c r="G238" s="91"/>
      <c r="I238" s="90"/>
      <c r="J238" s="503" t="str">
        <f>B238</f>
        <v>KWALIFICATIE</v>
      </c>
      <c r="K238" s="504"/>
      <c r="L238" s="505"/>
      <c r="M238" s="106"/>
      <c r="N238" s="105" t="str">
        <f>F238</f>
        <v>RONDE 7</v>
      </c>
      <c r="O238" s="91"/>
    </row>
    <row r="239" spans="1:15" ht="9.75" customHeight="1" thickBot="1" x14ac:dyDescent="0.3">
      <c r="A239" s="90"/>
      <c r="B239" s="92"/>
      <c r="C239" s="92"/>
      <c r="D239" s="92"/>
      <c r="E239" s="92"/>
      <c r="F239" s="93"/>
      <c r="G239" s="91"/>
      <c r="I239" s="90"/>
      <c r="J239" s="92"/>
      <c r="K239" s="92"/>
      <c r="L239" s="92"/>
      <c r="M239" s="92"/>
      <c r="N239" s="93"/>
      <c r="O239" s="91"/>
    </row>
    <row r="240" spans="1:15" s="96" customFormat="1" ht="19.5" customHeight="1" thickBot="1" x14ac:dyDescent="0.3">
      <c r="A240" s="94"/>
      <c r="B240" s="499" t="str">
        <f>B217</f>
        <v>12:00 - 12:15 uur</v>
      </c>
      <c r="C240" s="496"/>
      <c r="D240" s="496"/>
      <c r="E240" s="497"/>
      <c r="F240" s="104" t="s">
        <v>253</v>
      </c>
      <c r="G240" s="95"/>
      <c r="I240" s="94"/>
      <c r="J240" s="495" t="str">
        <f>B217</f>
        <v>12:00 - 12:15 uur</v>
      </c>
      <c r="K240" s="496"/>
      <c r="L240" s="496"/>
      <c r="M240" s="497"/>
      <c r="N240" s="104" t="s">
        <v>254</v>
      </c>
      <c r="O240" s="95"/>
    </row>
    <row r="241" spans="1:15" ht="14.25" customHeight="1" thickBot="1" x14ac:dyDescent="0.3">
      <c r="A241" s="90"/>
      <c r="B241" s="97"/>
      <c r="C241" s="92"/>
      <c r="D241" s="92"/>
      <c r="E241" s="92"/>
      <c r="F241" s="98"/>
      <c r="G241" s="91"/>
      <c r="I241" s="90"/>
      <c r="J241" s="97"/>
      <c r="K241" s="92"/>
      <c r="L241" s="92"/>
      <c r="M241" s="92"/>
      <c r="N241" s="98"/>
      <c r="O241" s="91"/>
    </row>
    <row r="242" spans="1:15" s="117" customFormat="1" ht="30" customHeight="1" thickBot="1" x14ac:dyDescent="0.35">
      <c r="A242" s="113"/>
      <c r="B242" s="500" t="str">
        <f>KWALIFICATIE!T40</f>
        <v>De Torpedo's</v>
      </c>
      <c r="C242" s="501"/>
      <c r="D242" s="502"/>
      <c r="E242" s="114"/>
      <c r="F242" s="115"/>
      <c r="G242" s="116"/>
      <c r="I242" s="113"/>
      <c r="J242" s="500" t="str">
        <f>KWALIFICATIE!T41</f>
        <v>Asvv de Schollevers</v>
      </c>
      <c r="K242" s="501"/>
      <c r="L242" s="502"/>
      <c r="M242" s="114"/>
      <c r="N242" s="115"/>
      <c r="O242" s="116"/>
    </row>
    <row r="243" spans="1:15" ht="16.5" thickBot="1" x14ac:dyDescent="0.3">
      <c r="A243" s="90"/>
      <c r="B243" s="99"/>
      <c r="C243" s="99"/>
      <c r="D243" s="99"/>
      <c r="E243" s="99"/>
      <c r="F243" s="99"/>
      <c r="G243" s="91"/>
      <c r="I243" s="90"/>
      <c r="J243" s="99"/>
      <c r="K243" s="99"/>
      <c r="L243" s="99"/>
      <c r="M243" s="99"/>
      <c r="N243" s="99"/>
      <c r="O243" s="91"/>
    </row>
    <row r="244" spans="1:15" s="117" customFormat="1" ht="30" customHeight="1" thickBot="1" x14ac:dyDescent="0.35">
      <c r="A244" s="113"/>
      <c r="B244" s="500" t="str">
        <f>KWALIFICATIE!Y40</f>
        <v xml:space="preserve">De Pintjes </v>
      </c>
      <c r="C244" s="501"/>
      <c r="D244" s="502"/>
      <c r="E244" s="114"/>
      <c r="F244" s="115"/>
      <c r="G244" s="116"/>
      <c r="I244" s="113"/>
      <c r="J244" s="500" t="str">
        <f>KWALIFICATIE!Y41</f>
        <v>Het Bestuur</v>
      </c>
      <c r="K244" s="501"/>
      <c r="L244" s="502"/>
      <c r="M244" s="114"/>
      <c r="N244" s="115"/>
      <c r="O244" s="116"/>
    </row>
    <row r="245" spans="1:15" ht="12" customHeight="1" x14ac:dyDescent="0.25">
      <c r="A245" s="90"/>
      <c r="B245" s="99"/>
      <c r="C245" s="99"/>
      <c r="D245" s="99"/>
      <c r="E245" s="99"/>
      <c r="F245" s="99"/>
      <c r="G245" s="91"/>
      <c r="I245" s="90"/>
      <c r="J245" s="99"/>
      <c r="K245" s="99"/>
      <c r="L245" s="99"/>
      <c r="M245" s="99"/>
      <c r="N245" s="99"/>
      <c r="O245" s="91"/>
    </row>
    <row r="246" spans="1:15" ht="13.5" customHeight="1" x14ac:dyDescent="0.25">
      <c r="A246" s="90"/>
      <c r="B246" s="498" t="str">
        <f>B235</f>
        <v>SCOREKAART - HVC2016</v>
      </c>
      <c r="C246" s="498"/>
      <c r="D246" s="498"/>
      <c r="E246" s="498"/>
      <c r="F246" s="498"/>
      <c r="G246" s="91"/>
      <c r="I246" s="90"/>
      <c r="J246" s="498" t="str">
        <f>B246</f>
        <v>SCOREKAART - HVC2016</v>
      </c>
      <c r="K246" s="498"/>
      <c r="L246" s="498"/>
      <c r="M246" s="498"/>
      <c r="N246" s="498"/>
      <c r="O246" s="91"/>
    </row>
    <row r="247" spans="1:15" ht="11.25" customHeight="1" thickBot="1" x14ac:dyDescent="0.3">
      <c r="A247" s="101"/>
      <c r="B247" s="102"/>
      <c r="C247" s="102"/>
      <c r="D247" s="102"/>
      <c r="E247" s="102"/>
      <c r="F247" s="102"/>
      <c r="G247" s="103"/>
      <c r="I247" s="101"/>
      <c r="J247" s="102"/>
      <c r="K247" s="102"/>
      <c r="L247" s="102"/>
      <c r="M247" s="102"/>
      <c r="N247" s="102"/>
      <c r="O247" s="103"/>
    </row>
    <row r="248" spans="1:15" ht="13.5" customHeight="1" thickBot="1" x14ac:dyDescent="0.3">
      <c r="A248" s="99"/>
      <c r="B248" s="99"/>
      <c r="C248" s="99"/>
      <c r="D248" s="99"/>
      <c r="E248" s="99"/>
      <c r="F248" s="99"/>
      <c r="G248" s="99"/>
      <c r="I248" s="99"/>
      <c r="J248" s="99"/>
      <c r="K248" s="99"/>
      <c r="L248" s="99"/>
      <c r="M248" s="99"/>
      <c r="N248" s="99"/>
      <c r="O248" s="99"/>
    </row>
    <row r="249" spans="1:15" ht="16.5" thickBot="1" x14ac:dyDescent="0.3">
      <c r="A249" s="86"/>
      <c r="B249" s="87"/>
      <c r="C249" s="87"/>
      <c r="D249" s="87"/>
      <c r="E249" s="87"/>
      <c r="F249" s="87"/>
      <c r="G249" s="88"/>
      <c r="I249" s="86"/>
      <c r="J249" s="87"/>
      <c r="K249" s="87"/>
      <c r="L249" s="87"/>
      <c r="M249" s="87"/>
      <c r="N249" s="87"/>
      <c r="O249" s="88"/>
    </row>
    <row r="250" spans="1:15" ht="20.100000000000001" customHeight="1" thickBot="1" x14ac:dyDescent="0.3">
      <c r="A250" s="90"/>
      <c r="B250" s="503" t="str">
        <f>B238</f>
        <v>KWALIFICATIE</v>
      </c>
      <c r="C250" s="504"/>
      <c r="D250" s="505"/>
      <c r="E250" s="106"/>
      <c r="F250" s="136" t="s">
        <v>26</v>
      </c>
      <c r="G250" s="91"/>
      <c r="I250" s="90"/>
      <c r="J250" s="503" t="str">
        <f>B238</f>
        <v>KWALIFICATIE</v>
      </c>
      <c r="K250" s="504"/>
      <c r="L250" s="505"/>
      <c r="M250" s="106"/>
      <c r="N250" s="136" t="s">
        <v>26</v>
      </c>
      <c r="O250" s="91"/>
    </row>
    <row r="251" spans="1:15" ht="9.75" customHeight="1" thickBot="1" x14ac:dyDescent="0.3">
      <c r="A251" s="90"/>
      <c r="B251" s="92"/>
      <c r="C251" s="92"/>
      <c r="D251" s="92"/>
      <c r="E251" s="92"/>
      <c r="F251" s="93"/>
      <c r="G251" s="91"/>
      <c r="I251" s="90"/>
      <c r="J251" s="92"/>
      <c r="K251" s="92"/>
      <c r="L251" s="92"/>
      <c r="M251" s="92"/>
      <c r="N251" s="93"/>
      <c r="O251" s="91"/>
    </row>
    <row r="252" spans="1:15" ht="20.100000000000001" customHeight="1" thickBot="1" x14ac:dyDescent="0.3">
      <c r="A252" s="94"/>
      <c r="B252" s="499" t="str">
        <f>START!B9</f>
        <v>12:15 - 12:30 uur</v>
      </c>
      <c r="C252" s="496"/>
      <c r="D252" s="496"/>
      <c r="E252" s="497"/>
      <c r="F252" s="104" t="s">
        <v>249</v>
      </c>
      <c r="G252" s="95"/>
      <c r="H252" s="96"/>
      <c r="I252" s="94"/>
      <c r="J252" s="499" t="str">
        <f>B252</f>
        <v>12:15 - 12:30 uur</v>
      </c>
      <c r="K252" s="496"/>
      <c r="L252" s="496"/>
      <c r="M252" s="497"/>
      <c r="N252" s="104" t="s">
        <v>250</v>
      </c>
      <c r="O252" s="95"/>
    </row>
    <row r="253" spans="1:15" ht="13.5" customHeight="1" thickBot="1" x14ac:dyDescent="0.3">
      <c r="A253" s="90"/>
      <c r="B253" s="97"/>
      <c r="C253" s="92"/>
      <c r="D253" s="92"/>
      <c r="E253" s="92"/>
      <c r="F253" s="98"/>
      <c r="G253" s="91"/>
      <c r="I253" s="90"/>
      <c r="J253" s="97"/>
      <c r="K253" s="92"/>
      <c r="L253" s="92"/>
      <c r="M253" s="92"/>
      <c r="N253" s="98"/>
      <c r="O253" s="91"/>
    </row>
    <row r="254" spans="1:15" s="117" customFormat="1" ht="30" customHeight="1" thickBot="1" x14ac:dyDescent="0.35">
      <c r="A254" s="113"/>
      <c r="B254" s="500" t="str">
        <f>KWALIFICATIE!T44</f>
        <v>Swift Dames</v>
      </c>
      <c r="C254" s="501"/>
      <c r="D254" s="502"/>
      <c r="E254" s="114"/>
      <c r="F254" s="115"/>
      <c r="G254" s="116"/>
      <c r="I254" s="113"/>
      <c r="J254" s="500" t="str">
        <f>KWALIFICATIE!T45</f>
        <v>AntiLope</v>
      </c>
      <c r="K254" s="501"/>
      <c r="L254" s="502"/>
      <c r="M254" s="114"/>
      <c r="N254" s="115"/>
      <c r="O254" s="116"/>
    </row>
    <row r="255" spans="1:15" ht="16.5" thickBot="1" x14ac:dyDescent="0.3">
      <c r="A255" s="90"/>
      <c r="B255" s="99"/>
      <c r="C255" s="99"/>
      <c r="D255" s="99"/>
      <c r="E255" s="99"/>
      <c r="F255" s="99"/>
      <c r="G255" s="91"/>
      <c r="I255" s="90"/>
      <c r="J255" s="99"/>
      <c r="K255" s="99"/>
      <c r="L255" s="99"/>
      <c r="M255" s="99"/>
      <c r="N255" s="99"/>
      <c r="O255" s="91"/>
    </row>
    <row r="256" spans="1:15" s="117" customFormat="1" ht="30" customHeight="1" thickBot="1" x14ac:dyDescent="0.35">
      <c r="A256" s="113"/>
      <c r="B256" s="500" t="str">
        <f>KWALIFICATIE!Y44</f>
        <v>De Ronaldozen</v>
      </c>
      <c r="C256" s="501"/>
      <c r="D256" s="502"/>
      <c r="E256" s="114"/>
      <c r="F256" s="115"/>
      <c r="G256" s="116"/>
      <c r="I256" s="113"/>
      <c r="J256" s="500" t="str">
        <f>KWALIFICATIE!Y45</f>
        <v>Mysterieuze Missers</v>
      </c>
      <c r="K256" s="501"/>
      <c r="L256" s="502"/>
      <c r="M256" s="114"/>
      <c r="N256" s="115"/>
      <c r="O256" s="116"/>
    </row>
    <row r="257" spans="1:15" ht="12" customHeight="1" x14ac:dyDescent="0.25">
      <c r="A257" s="90"/>
      <c r="B257" s="99"/>
      <c r="C257" s="99"/>
      <c r="D257" s="99"/>
      <c r="E257" s="99"/>
      <c r="F257" s="99"/>
      <c r="G257" s="91"/>
      <c r="I257" s="90"/>
      <c r="J257" s="99"/>
      <c r="K257" s="99"/>
      <c r="L257" s="99"/>
      <c r="M257" s="99"/>
      <c r="N257" s="99"/>
      <c r="O257" s="91"/>
    </row>
    <row r="258" spans="1:15" ht="13.5" customHeight="1" x14ac:dyDescent="0.25">
      <c r="A258" s="90"/>
      <c r="B258" s="498" t="str">
        <f>B246</f>
        <v>SCOREKAART - HVC2016</v>
      </c>
      <c r="C258" s="498"/>
      <c r="D258" s="498"/>
      <c r="E258" s="498"/>
      <c r="F258" s="498"/>
      <c r="G258" s="91"/>
      <c r="I258" s="90"/>
      <c r="J258" s="498" t="str">
        <f>B246</f>
        <v>SCOREKAART - HVC2016</v>
      </c>
      <c r="K258" s="498"/>
      <c r="L258" s="498"/>
      <c r="M258" s="498"/>
      <c r="N258" s="498"/>
      <c r="O258" s="91"/>
    </row>
    <row r="259" spans="1:15" ht="11.25" customHeight="1" thickBot="1" x14ac:dyDescent="0.3">
      <c r="A259" s="101"/>
      <c r="B259" s="102"/>
      <c r="C259" s="102"/>
      <c r="D259" s="102"/>
      <c r="E259" s="102"/>
      <c r="F259" s="102"/>
      <c r="G259" s="103"/>
      <c r="I259" s="101"/>
      <c r="J259" s="102"/>
      <c r="K259" s="102"/>
      <c r="L259" s="102"/>
      <c r="M259" s="102"/>
      <c r="N259" s="102"/>
      <c r="O259" s="103"/>
    </row>
    <row r="260" spans="1:15" ht="14.1" customHeight="1" thickBot="1" x14ac:dyDescent="0.3">
      <c r="A260" s="107"/>
      <c r="B260" s="99"/>
      <c r="C260" s="99"/>
      <c r="D260" s="99"/>
      <c r="E260" s="99"/>
      <c r="F260" s="99"/>
      <c r="G260" s="99"/>
      <c r="H260" s="99"/>
      <c r="I260" s="99"/>
      <c r="J260" s="99"/>
      <c r="K260" s="99"/>
      <c r="L260" s="99"/>
      <c r="M260" s="99"/>
      <c r="N260" s="99"/>
      <c r="O260" s="107"/>
    </row>
    <row r="261" spans="1:15" ht="16.5" customHeight="1" thickBot="1" x14ac:dyDescent="0.3">
      <c r="A261" s="86"/>
      <c r="B261" s="87"/>
      <c r="C261" s="87"/>
      <c r="D261" s="87"/>
      <c r="E261" s="87"/>
      <c r="F261" s="87"/>
      <c r="G261" s="88"/>
      <c r="I261" s="86"/>
      <c r="J261" s="87"/>
      <c r="K261" s="87"/>
      <c r="L261" s="87"/>
      <c r="M261" s="87"/>
      <c r="N261" s="87"/>
      <c r="O261" s="88"/>
    </row>
    <row r="262" spans="1:15" ht="20.100000000000001" customHeight="1" thickBot="1" x14ac:dyDescent="0.3">
      <c r="A262" s="90"/>
      <c r="B262" s="503" t="str">
        <f>B238</f>
        <v>KWALIFICATIE</v>
      </c>
      <c r="C262" s="504"/>
      <c r="D262" s="505"/>
      <c r="E262" s="106"/>
      <c r="F262" s="136" t="s">
        <v>26</v>
      </c>
      <c r="G262" s="91"/>
      <c r="I262" s="90"/>
      <c r="J262" s="503" t="str">
        <f>B238</f>
        <v>KWALIFICATIE</v>
      </c>
      <c r="K262" s="504"/>
      <c r="L262" s="505"/>
      <c r="M262" s="106"/>
      <c r="N262" s="136" t="s">
        <v>26</v>
      </c>
      <c r="O262" s="91"/>
    </row>
    <row r="263" spans="1:15" ht="13.5" customHeight="1" thickBot="1" x14ac:dyDescent="0.3">
      <c r="A263" s="90"/>
      <c r="B263" s="92"/>
      <c r="C263" s="92"/>
      <c r="D263" s="92"/>
      <c r="E263" s="92"/>
      <c r="F263" s="93"/>
      <c r="G263" s="91"/>
      <c r="I263" s="90"/>
      <c r="J263" s="92"/>
      <c r="K263" s="92"/>
      <c r="L263" s="92"/>
      <c r="M263" s="92"/>
      <c r="N263" s="93"/>
      <c r="O263" s="91"/>
    </row>
    <row r="264" spans="1:15" ht="20.100000000000001" customHeight="1" thickBot="1" x14ac:dyDescent="0.3">
      <c r="A264" s="94"/>
      <c r="B264" s="499" t="str">
        <f>B252</f>
        <v>12:15 - 12:30 uur</v>
      </c>
      <c r="C264" s="496"/>
      <c r="D264" s="496"/>
      <c r="E264" s="497"/>
      <c r="F264" s="104" t="s">
        <v>251</v>
      </c>
      <c r="G264" s="95"/>
      <c r="H264" s="96"/>
      <c r="I264" s="94"/>
      <c r="J264" s="499" t="str">
        <f>B252</f>
        <v>12:15 - 12:30 uur</v>
      </c>
      <c r="K264" s="496"/>
      <c r="L264" s="496"/>
      <c r="M264" s="497"/>
      <c r="N264" s="104" t="s">
        <v>252</v>
      </c>
      <c r="O264" s="95"/>
    </row>
    <row r="265" spans="1:15" ht="13.5" customHeight="1" thickBot="1" x14ac:dyDescent="0.3">
      <c r="A265" s="90"/>
      <c r="B265" s="97"/>
      <c r="C265" s="92"/>
      <c r="D265" s="92"/>
      <c r="E265" s="92"/>
      <c r="F265" s="98"/>
      <c r="G265" s="91"/>
      <c r="I265" s="90"/>
      <c r="J265" s="97"/>
      <c r="K265" s="92"/>
      <c r="L265" s="92"/>
      <c r="M265" s="92"/>
      <c r="N265" s="98"/>
      <c r="O265" s="91"/>
    </row>
    <row r="266" spans="1:15" s="117" customFormat="1" ht="30" customHeight="1" thickBot="1" x14ac:dyDescent="0.35">
      <c r="A266" s="113"/>
      <c r="B266" s="500" t="str">
        <f>KWALIFICATIE!T46</f>
        <v>De Doofpot</v>
      </c>
      <c r="C266" s="501"/>
      <c r="D266" s="502"/>
      <c r="E266" s="114"/>
      <c r="F266" s="115"/>
      <c r="G266" s="116"/>
      <c r="I266" s="113"/>
      <c r="J266" s="500" t="str">
        <f>KWALIFICATIE!T47</f>
        <v>Fons Vitaeplein</v>
      </c>
      <c r="K266" s="501"/>
      <c r="L266" s="502"/>
      <c r="M266" s="114"/>
      <c r="N266" s="115"/>
      <c r="O266" s="116"/>
    </row>
    <row r="267" spans="1:15" ht="16.5" thickBot="1" x14ac:dyDescent="0.3">
      <c r="A267" s="90"/>
      <c r="B267" s="99"/>
      <c r="C267" s="99"/>
      <c r="D267" s="99"/>
      <c r="E267" s="99"/>
      <c r="F267" s="99"/>
      <c r="G267" s="91"/>
      <c r="I267" s="90"/>
      <c r="J267" s="99"/>
      <c r="K267" s="99"/>
      <c r="L267" s="99"/>
      <c r="M267" s="99"/>
      <c r="N267" s="99"/>
      <c r="O267" s="91"/>
    </row>
    <row r="268" spans="1:15" s="117" customFormat="1" ht="30" customHeight="1" thickBot="1" x14ac:dyDescent="0.35">
      <c r="A268" s="113"/>
      <c r="B268" s="500" t="str">
        <f>KWALIFICATIE!Y46</f>
        <v>Swift Zondag 11</v>
      </c>
      <c r="C268" s="501"/>
      <c r="D268" s="502"/>
      <c r="E268" s="114"/>
      <c r="F268" s="115"/>
      <c r="G268" s="116"/>
      <c r="I268" s="113"/>
      <c r="J268" s="500" t="str">
        <f>KWALIFICATIE!Y47</f>
        <v>Vrienden van Van Essen</v>
      </c>
      <c r="K268" s="501"/>
      <c r="L268" s="502"/>
      <c r="M268" s="114"/>
      <c r="N268" s="115"/>
      <c r="O268" s="116"/>
    </row>
    <row r="269" spans="1:15" ht="12" customHeight="1" x14ac:dyDescent="0.25">
      <c r="A269" s="90"/>
      <c r="B269" s="99"/>
      <c r="C269" s="99"/>
      <c r="D269" s="99"/>
      <c r="E269" s="99"/>
      <c r="F269" s="99"/>
      <c r="G269" s="91"/>
      <c r="I269" s="90"/>
      <c r="J269" s="99"/>
      <c r="K269" s="99"/>
      <c r="L269" s="99"/>
      <c r="M269" s="99"/>
      <c r="N269" s="99"/>
      <c r="O269" s="91"/>
    </row>
    <row r="270" spans="1:15" ht="13.5" customHeight="1" x14ac:dyDescent="0.25">
      <c r="A270" s="90"/>
      <c r="B270" s="498" t="str">
        <f>B246</f>
        <v>SCOREKAART - HVC2016</v>
      </c>
      <c r="C270" s="498"/>
      <c r="D270" s="498"/>
      <c r="E270" s="498"/>
      <c r="F270" s="498"/>
      <c r="G270" s="91"/>
      <c r="I270" s="90"/>
      <c r="J270" s="498" t="str">
        <f>B246</f>
        <v>SCOREKAART - HVC2016</v>
      </c>
      <c r="K270" s="498"/>
      <c r="L270" s="498"/>
      <c r="M270" s="498"/>
      <c r="N270" s="498"/>
      <c r="O270" s="91"/>
    </row>
    <row r="271" spans="1:15" ht="12" customHeight="1" thickBot="1" x14ac:dyDescent="0.3">
      <c r="A271" s="101"/>
      <c r="B271" s="102"/>
      <c r="C271" s="102"/>
      <c r="D271" s="102"/>
      <c r="E271" s="102"/>
      <c r="F271" s="102"/>
      <c r="G271" s="103"/>
      <c r="I271" s="101"/>
      <c r="J271" s="102"/>
      <c r="K271" s="102"/>
      <c r="L271" s="102"/>
      <c r="M271" s="102"/>
      <c r="N271" s="102"/>
      <c r="O271" s="103"/>
    </row>
    <row r="272" spans="1:15" ht="14.1" customHeight="1" thickBot="1" x14ac:dyDescent="0.3">
      <c r="A272" s="107"/>
      <c r="B272" s="99"/>
      <c r="C272" s="99"/>
      <c r="D272" s="99"/>
      <c r="E272" s="99"/>
      <c r="F272" s="99"/>
      <c r="G272" s="99"/>
      <c r="H272" s="99"/>
      <c r="I272" s="99"/>
      <c r="J272" s="99"/>
      <c r="K272" s="99"/>
      <c r="L272" s="99"/>
      <c r="M272" s="99"/>
      <c r="N272" s="99"/>
      <c r="O272" s="107"/>
    </row>
    <row r="273" spans="1:15" ht="16.5" thickBot="1" x14ac:dyDescent="0.3">
      <c r="A273" s="86"/>
      <c r="B273" s="87"/>
      <c r="C273" s="87"/>
      <c r="D273" s="87"/>
      <c r="E273" s="87"/>
      <c r="F273" s="87"/>
      <c r="G273" s="88"/>
      <c r="I273" s="86"/>
      <c r="J273" s="87"/>
      <c r="K273" s="87"/>
      <c r="L273" s="87"/>
      <c r="M273" s="87"/>
      <c r="N273" s="87"/>
      <c r="O273" s="88"/>
    </row>
    <row r="274" spans="1:15" ht="20.100000000000001" customHeight="1" thickBot="1" x14ac:dyDescent="0.3">
      <c r="A274" s="90"/>
      <c r="B274" s="503" t="str">
        <f>B238</f>
        <v>KWALIFICATIE</v>
      </c>
      <c r="C274" s="504"/>
      <c r="D274" s="505"/>
      <c r="E274" s="106"/>
      <c r="F274" s="136" t="s">
        <v>26</v>
      </c>
      <c r="G274" s="91"/>
      <c r="I274" s="90"/>
      <c r="J274" s="503" t="str">
        <f>B238</f>
        <v>KWALIFICATIE</v>
      </c>
      <c r="K274" s="504"/>
      <c r="L274" s="505"/>
      <c r="M274" s="106"/>
      <c r="N274" s="136" t="s">
        <v>26</v>
      </c>
      <c r="O274" s="91"/>
    </row>
    <row r="275" spans="1:15" ht="13.5" customHeight="1" thickBot="1" x14ac:dyDescent="0.3">
      <c r="A275" s="90"/>
      <c r="B275" s="92"/>
      <c r="C275" s="92"/>
      <c r="D275" s="92"/>
      <c r="E275" s="92"/>
      <c r="F275" s="93"/>
      <c r="G275" s="91"/>
      <c r="I275" s="90"/>
      <c r="J275" s="92"/>
      <c r="K275" s="92"/>
      <c r="L275" s="92"/>
      <c r="M275" s="92"/>
      <c r="N275" s="93"/>
      <c r="O275" s="91"/>
    </row>
    <row r="276" spans="1:15" ht="20.100000000000001" customHeight="1" thickBot="1" x14ac:dyDescent="0.3">
      <c r="A276" s="94"/>
      <c r="B276" s="499" t="str">
        <f>B252</f>
        <v>12:15 - 12:30 uur</v>
      </c>
      <c r="C276" s="496"/>
      <c r="D276" s="496"/>
      <c r="E276" s="497"/>
      <c r="F276" s="104" t="s">
        <v>253</v>
      </c>
      <c r="G276" s="95"/>
      <c r="H276" s="96"/>
      <c r="I276" s="94"/>
      <c r="J276" s="499" t="str">
        <f>B252</f>
        <v>12:15 - 12:30 uur</v>
      </c>
      <c r="K276" s="496"/>
      <c r="L276" s="496"/>
      <c r="M276" s="497"/>
      <c r="N276" s="104" t="s">
        <v>254</v>
      </c>
      <c r="O276" s="95"/>
    </row>
    <row r="277" spans="1:15" ht="13.5" customHeight="1" thickBot="1" x14ac:dyDescent="0.3">
      <c r="A277" s="90"/>
      <c r="B277" s="97"/>
      <c r="C277" s="92"/>
      <c r="D277" s="92"/>
      <c r="E277" s="92"/>
      <c r="F277" s="98"/>
      <c r="G277" s="91"/>
      <c r="I277" s="90"/>
      <c r="J277" s="97"/>
      <c r="K277" s="92"/>
      <c r="L277" s="92"/>
      <c r="M277" s="92"/>
      <c r="N277" s="98"/>
      <c r="O277" s="91"/>
    </row>
    <row r="278" spans="1:15" s="117" customFormat="1" ht="30" customHeight="1" thickBot="1" x14ac:dyDescent="0.35">
      <c r="A278" s="113"/>
      <c r="B278" s="359" t="str">
        <f>KWALIFICATIE!T48</f>
        <v>De Kabel</v>
      </c>
      <c r="C278" s="360"/>
      <c r="D278" s="361"/>
      <c r="E278" s="114"/>
      <c r="F278" s="115"/>
      <c r="G278" s="116"/>
      <c r="I278" s="113"/>
      <c r="J278" s="359" t="str">
        <f>KWALIFICATIE!T49</f>
        <v>Om des Keijzers baerdt</v>
      </c>
      <c r="K278" s="360"/>
      <c r="L278" s="361"/>
      <c r="M278" s="114"/>
      <c r="N278" s="115"/>
      <c r="O278" s="116"/>
    </row>
    <row r="279" spans="1:15" ht="16.5" thickBot="1" x14ac:dyDescent="0.3">
      <c r="A279" s="90"/>
      <c r="B279" s="99"/>
      <c r="C279" s="99"/>
      <c r="D279" s="99"/>
      <c r="E279" s="99"/>
      <c r="F279" s="99"/>
      <c r="G279" s="91"/>
      <c r="I279" s="90"/>
      <c r="J279" s="99"/>
      <c r="K279" s="99"/>
      <c r="L279" s="99"/>
      <c r="M279" s="99"/>
      <c r="N279" s="99"/>
      <c r="O279" s="91"/>
    </row>
    <row r="280" spans="1:15" s="117" customFormat="1" ht="30" customHeight="1" thickBot="1" x14ac:dyDescent="0.35">
      <c r="A280" s="113"/>
      <c r="B280" s="359" t="str">
        <f>KWALIFICATIE!Y48</f>
        <v>Jenever op de Schinkel</v>
      </c>
      <c r="C280" s="360"/>
      <c r="D280" s="361"/>
      <c r="E280" s="114"/>
      <c r="F280" s="115"/>
      <c r="G280" s="116"/>
      <c r="I280" s="113"/>
      <c r="J280" s="359" t="str">
        <f>KWALIFICATIE!Y49</f>
        <v>Amsterdam Finest ss16</v>
      </c>
      <c r="K280" s="360"/>
      <c r="L280" s="361"/>
      <c r="M280" s="114"/>
      <c r="N280" s="115"/>
      <c r="O280" s="116"/>
    </row>
    <row r="281" spans="1:15" ht="12" customHeight="1" x14ac:dyDescent="0.25">
      <c r="A281" s="90"/>
      <c r="B281" s="99"/>
      <c r="C281" s="99"/>
      <c r="D281" s="99"/>
      <c r="E281" s="99"/>
      <c r="F281" s="99"/>
      <c r="G281" s="91"/>
      <c r="I281" s="90"/>
      <c r="J281" s="99"/>
      <c r="K281" s="99"/>
      <c r="L281" s="99"/>
      <c r="M281" s="99"/>
      <c r="N281" s="99"/>
      <c r="O281" s="91"/>
    </row>
    <row r="282" spans="1:15" ht="13.5" customHeight="1" x14ac:dyDescent="0.25">
      <c r="A282" s="90"/>
      <c r="B282" s="498" t="str">
        <f>B246</f>
        <v>SCOREKAART - HVC2016</v>
      </c>
      <c r="C282" s="498"/>
      <c r="D282" s="498"/>
      <c r="E282" s="498"/>
      <c r="F282" s="498"/>
      <c r="G282" s="91"/>
      <c r="I282" s="90"/>
      <c r="J282" s="498" t="str">
        <f>B246</f>
        <v>SCOREKAART - HVC2016</v>
      </c>
      <c r="K282" s="498"/>
      <c r="L282" s="498"/>
      <c r="M282" s="498"/>
      <c r="N282" s="498"/>
      <c r="O282" s="91"/>
    </row>
    <row r="283" spans="1:15" ht="12" customHeight="1" thickBot="1" x14ac:dyDescent="0.3">
      <c r="A283" s="101"/>
      <c r="B283" s="102"/>
      <c r="C283" s="102"/>
      <c r="D283" s="102"/>
      <c r="E283" s="102"/>
      <c r="F283" s="102"/>
      <c r="G283" s="103"/>
      <c r="I283" s="101"/>
      <c r="J283" s="102"/>
      <c r="K283" s="102"/>
      <c r="L283" s="102"/>
      <c r="M283" s="102"/>
      <c r="N283" s="102"/>
      <c r="O283" s="103"/>
    </row>
    <row r="284" spans="1:15" ht="16.5" thickBot="1" x14ac:dyDescent="0.3">
      <c r="A284" s="86"/>
      <c r="B284" s="87"/>
      <c r="C284" s="87"/>
      <c r="D284" s="87"/>
      <c r="E284" s="87"/>
      <c r="F284" s="87"/>
      <c r="G284" s="88"/>
      <c r="I284" s="86"/>
      <c r="J284" s="87"/>
      <c r="K284" s="87"/>
      <c r="L284" s="87"/>
      <c r="M284" s="87"/>
      <c r="N284" s="87"/>
      <c r="O284" s="88"/>
    </row>
    <row r="285" spans="1:15" ht="20.25" customHeight="1" thickBot="1" x14ac:dyDescent="0.3">
      <c r="A285" s="90"/>
      <c r="B285" s="506" t="str">
        <f>START!D8</f>
        <v>KWALIFICATIE</v>
      </c>
      <c r="C285" s="504"/>
      <c r="D285" s="505"/>
      <c r="E285" s="106"/>
      <c r="F285" s="105" t="s">
        <v>28</v>
      </c>
      <c r="G285" s="91"/>
      <c r="I285" s="90"/>
      <c r="J285" s="503" t="str">
        <f>B285</f>
        <v>KWALIFICATIE</v>
      </c>
      <c r="K285" s="504"/>
      <c r="L285" s="505"/>
      <c r="M285" s="106"/>
      <c r="N285" s="105" t="s">
        <v>28</v>
      </c>
      <c r="O285" s="91"/>
    </row>
    <row r="286" spans="1:15" ht="9.75" customHeight="1" thickBot="1" x14ac:dyDescent="0.3">
      <c r="A286" s="90"/>
      <c r="B286" s="92"/>
      <c r="C286" s="92"/>
      <c r="D286" s="92"/>
      <c r="E286" s="92"/>
      <c r="F286" s="93"/>
      <c r="G286" s="91"/>
      <c r="I286" s="90"/>
      <c r="J286" s="92"/>
      <c r="K286" s="92"/>
      <c r="L286" s="92"/>
      <c r="M286" s="92"/>
      <c r="N286" s="93"/>
      <c r="O286" s="91"/>
    </row>
    <row r="287" spans="1:15" s="96" customFormat="1" ht="19.5" customHeight="1" thickBot="1" x14ac:dyDescent="0.3">
      <c r="A287" s="94"/>
      <c r="B287" s="499" t="str">
        <f>START!B10</f>
        <v>12:30 - 12:45 uur</v>
      </c>
      <c r="C287" s="496"/>
      <c r="D287" s="496"/>
      <c r="E287" s="497"/>
      <c r="F287" s="104" t="s">
        <v>249</v>
      </c>
      <c r="G287" s="95"/>
      <c r="I287" s="94"/>
      <c r="J287" s="495" t="str">
        <f>B287</f>
        <v>12:30 - 12:45 uur</v>
      </c>
      <c r="K287" s="496"/>
      <c r="L287" s="496"/>
      <c r="M287" s="497"/>
      <c r="N287" s="104" t="s">
        <v>250</v>
      </c>
      <c r="O287" s="95"/>
    </row>
    <row r="288" spans="1:15" ht="14.25" customHeight="1" thickBot="1" x14ac:dyDescent="0.3">
      <c r="A288" s="90"/>
      <c r="B288" s="97"/>
      <c r="C288" s="92"/>
      <c r="D288" s="92"/>
      <c r="E288" s="92"/>
      <c r="F288" s="98"/>
      <c r="G288" s="91"/>
      <c r="I288" s="90"/>
      <c r="J288" s="97"/>
      <c r="K288" s="92"/>
      <c r="L288" s="92"/>
      <c r="M288" s="92"/>
      <c r="N288" s="98"/>
      <c r="O288" s="91"/>
    </row>
    <row r="289" spans="1:15" s="117" customFormat="1" ht="30" customHeight="1" thickBot="1" x14ac:dyDescent="0.35">
      <c r="A289" s="113"/>
      <c r="B289" s="359" t="str">
        <f>KWALIFICATIE!T52</f>
        <v>Borrelnood</v>
      </c>
      <c r="C289" s="360"/>
      <c r="D289" s="361"/>
      <c r="E289" s="114"/>
      <c r="F289" s="115"/>
      <c r="G289" s="116"/>
      <c r="I289" s="113"/>
      <c r="J289" s="359" t="str">
        <f>KWALIFICATIE!T53</f>
        <v>De Vedettjes</v>
      </c>
      <c r="K289" s="360"/>
      <c r="L289" s="361"/>
      <c r="M289" s="114"/>
      <c r="N289" s="115"/>
      <c r="O289" s="116"/>
    </row>
    <row r="290" spans="1:15" ht="16.5" thickBot="1" x14ac:dyDescent="0.3">
      <c r="A290" s="90"/>
      <c r="B290" s="99"/>
      <c r="C290" s="99"/>
      <c r="D290" s="99"/>
      <c r="E290" s="99"/>
      <c r="F290" s="99"/>
      <c r="G290" s="91"/>
      <c r="I290" s="90"/>
      <c r="J290" s="99"/>
      <c r="K290" s="99"/>
      <c r="L290" s="99"/>
      <c r="M290" s="99"/>
      <c r="N290" s="99"/>
      <c r="O290" s="91"/>
    </row>
    <row r="291" spans="1:15" s="117" customFormat="1" ht="30" customHeight="1" thickBot="1" x14ac:dyDescent="0.35">
      <c r="A291" s="113"/>
      <c r="B291" s="359" t="str">
        <f>KWALIFICATIE!Y52</f>
        <v>De Chouffjes</v>
      </c>
      <c r="C291" s="360"/>
      <c r="D291" s="361"/>
      <c r="E291" s="114"/>
      <c r="F291" s="115"/>
      <c r="G291" s="116"/>
      <c r="I291" s="113"/>
      <c r="J291" s="359" t="str">
        <f>KWALIFICATIE!Y53</f>
        <v>RAP 2</v>
      </c>
      <c r="K291" s="360"/>
      <c r="L291" s="361"/>
      <c r="M291" s="114"/>
      <c r="N291" s="115"/>
      <c r="O291" s="116"/>
    </row>
    <row r="292" spans="1:15" ht="12" customHeight="1" x14ac:dyDescent="0.25">
      <c r="A292" s="90"/>
      <c r="B292" s="99"/>
      <c r="C292" s="99"/>
      <c r="D292" s="99"/>
      <c r="E292" s="99"/>
      <c r="F292" s="99"/>
      <c r="G292" s="91"/>
      <c r="I292" s="90"/>
      <c r="J292" s="99"/>
      <c r="K292" s="99"/>
      <c r="L292" s="99"/>
      <c r="M292" s="99"/>
      <c r="N292" s="99"/>
      <c r="O292" s="91"/>
    </row>
    <row r="293" spans="1:15" ht="13.5" customHeight="1" x14ac:dyDescent="0.25">
      <c r="A293" s="90"/>
      <c r="B293" s="498" t="str">
        <f>B282</f>
        <v>SCOREKAART - HVC2016</v>
      </c>
      <c r="C293" s="498"/>
      <c r="D293" s="498"/>
      <c r="E293" s="498"/>
      <c r="F293" s="498"/>
      <c r="G293" s="91"/>
      <c r="I293" s="90"/>
      <c r="J293" s="498" t="str">
        <f>B293</f>
        <v>SCOREKAART - HVC2016</v>
      </c>
      <c r="K293" s="498"/>
      <c r="L293" s="498"/>
      <c r="M293" s="498"/>
      <c r="N293" s="498"/>
      <c r="O293" s="91"/>
    </row>
    <row r="294" spans="1:15" ht="11.25" customHeight="1" thickBot="1" x14ac:dyDescent="0.3">
      <c r="A294" s="101"/>
      <c r="B294" s="102"/>
      <c r="C294" s="102"/>
      <c r="D294" s="102"/>
      <c r="E294" s="102"/>
      <c r="F294" s="102"/>
      <c r="G294" s="103"/>
      <c r="I294" s="101"/>
      <c r="J294" s="102"/>
      <c r="K294" s="102"/>
      <c r="L294" s="102"/>
      <c r="M294" s="102"/>
      <c r="N294" s="102"/>
      <c r="O294" s="103"/>
    </row>
    <row r="295" spans="1:15" ht="13.5" customHeight="1" thickBot="1" x14ac:dyDescent="0.3">
      <c r="A295" s="99"/>
      <c r="B295" s="99"/>
      <c r="C295" s="99"/>
      <c r="D295" s="99"/>
      <c r="E295" s="99"/>
      <c r="F295" s="99"/>
      <c r="G295" s="99"/>
      <c r="I295" s="99"/>
      <c r="J295" s="99"/>
      <c r="K295" s="99"/>
      <c r="L295" s="99"/>
      <c r="M295" s="99"/>
      <c r="N295" s="99"/>
      <c r="O295" s="99"/>
    </row>
    <row r="296" spans="1:15" ht="16.5" thickBot="1" x14ac:dyDescent="0.3">
      <c r="A296" s="86"/>
      <c r="B296" s="87"/>
      <c r="C296" s="87"/>
      <c r="D296" s="87"/>
      <c r="E296" s="87"/>
      <c r="F296" s="87"/>
      <c r="G296" s="88"/>
      <c r="I296" s="86"/>
      <c r="J296" s="87"/>
      <c r="K296" s="87"/>
      <c r="L296" s="87"/>
      <c r="M296" s="87"/>
      <c r="N296" s="87"/>
      <c r="O296" s="88"/>
    </row>
    <row r="297" spans="1:15" ht="20.100000000000001" customHeight="1" thickBot="1" x14ac:dyDescent="0.3">
      <c r="A297" s="90"/>
      <c r="B297" s="503" t="str">
        <f>B285</f>
        <v>KWALIFICATIE</v>
      </c>
      <c r="C297" s="504"/>
      <c r="D297" s="505"/>
      <c r="E297" s="106"/>
      <c r="F297" s="105" t="s">
        <v>28</v>
      </c>
      <c r="G297" s="91"/>
      <c r="I297" s="90"/>
      <c r="J297" s="503" t="str">
        <f>B285</f>
        <v>KWALIFICATIE</v>
      </c>
      <c r="K297" s="504"/>
      <c r="L297" s="505"/>
      <c r="M297" s="106"/>
      <c r="N297" s="105" t="s">
        <v>28</v>
      </c>
      <c r="O297" s="91"/>
    </row>
    <row r="298" spans="1:15" ht="9.75" customHeight="1" thickBot="1" x14ac:dyDescent="0.3">
      <c r="A298" s="90"/>
      <c r="B298" s="92"/>
      <c r="C298" s="92"/>
      <c r="D298" s="92"/>
      <c r="E298" s="92"/>
      <c r="F298" s="93"/>
      <c r="G298" s="91"/>
      <c r="I298" s="90"/>
      <c r="J298" s="92"/>
      <c r="K298" s="92"/>
      <c r="L298" s="92"/>
      <c r="M298" s="92"/>
      <c r="N298" s="93"/>
      <c r="O298" s="91"/>
    </row>
    <row r="299" spans="1:15" ht="20.100000000000001" customHeight="1" thickBot="1" x14ac:dyDescent="0.3">
      <c r="A299" s="94"/>
      <c r="B299" s="495" t="str">
        <f>B287</f>
        <v>12:30 - 12:45 uur</v>
      </c>
      <c r="C299" s="496"/>
      <c r="D299" s="496"/>
      <c r="E299" s="497"/>
      <c r="F299" s="104" t="s">
        <v>251</v>
      </c>
      <c r="G299" s="95"/>
      <c r="H299" s="96"/>
      <c r="I299" s="94"/>
      <c r="J299" s="495" t="str">
        <f>B287</f>
        <v>12:30 - 12:45 uur</v>
      </c>
      <c r="K299" s="496"/>
      <c r="L299" s="496"/>
      <c r="M299" s="497"/>
      <c r="N299" s="104" t="s">
        <v>252</v>
      </c>
      <c r="O299" s="95"/>
    </row>
    <row r="300" spans="1:15" ht="13.5" customHeight="1" thickBot="1" x14ac:dyDescent="0.3">
      <c r="A300" s="90"/>
      <c r="B300" s="97"/>
      <c r="C300" s="92"/>
      <c r="D300" s="92"/>
      <c r="E300" s="92"/>
      <c r="F300" s="98"/>
      <c r="G300" s="91"/>
      <c r="I300" s="90"/>
      <c r="J300" s="97"/>
      <c r="K300" s="92"/>
      <c r="L300" s="92"/>
      <c r="M300" s="92"/>
      <c r="N300" s="98"/>
      <c r="O300" s="91"/>
    </row>
    <row r="301" spans="1:15" s="117" customFormat="1" ht="30" customHeight="1" thickBot="1" x14ac:dyDescent="0.35">
      <c r="A301" s="113"/>
      <c r="B301" s="500" t="str">
        <f>KWALIFICATIE!T54</f>
        <v>IAMB&amp;B</v>
      </c>
      <c r="C301" s="501"/>
      <c r="D301" s="502"/>
      <c r="E301" s="114"/>
      <c r="F301" s="115"/>
      <c r="G301" s="116"/>
      <c r="I301" s="113"/>
      <c r="J301" s="500" t="str">
        <f>KWALIFICATIE!T55</f>
        <v>FC Papa</v>
      </c>
      <c r="K301" s="501"/>
      <c r="L301" s="502"/>
      <c r="M301" s="114"/>
      <c r="N301" s="115"/>
      <c r="O301" s="116"/>
    </row>
    <row r="302" spans="1:15" ht="16.5" thickBot="1" x14ac:dyDescent="0.3">
      <c r="A302" s="90"/>
      <c r="B302" s="99"/>
      <c r="C302" s="99"/>
      <c r="D302" s="99"/>
      <c r="E302" s="99"/>
      <c r="F302" s="99"/>
      <c r="G302" s="91"/>
      <c r="I302" s="90"/>
      <c r="J302" s="99"/>
      <c r="K302" s="99"/>
      <c r="L302" s="99"/>
      <c r="M302" s="99"/>
      <c r="N302" s="99"/>
      <c r="O302" s="91"/>
    </row>
    <row r="303" spans="1:15" s="117" customFormat="1" ht="30" customHeight="1" thickBot="1" x14ac:dyDescent="0.35">
      <c r="A303" s="113"/>
      <c r="B303" s="500" t="str">
        <f>KWALIFICATIE!Y54</f>
        <v>FC EPERNAY</v>
      </c>
      <c r="C303" s="501"/>
      <c r="D303" s="502"/>
      <c r="E303" s="114"/>
      <c r="F303" s="115"/>
      <c r="G303" s="116"/>
      <c r="I303" s="113"/>
      <c r="J303" s="500" t="str">
        <f>KWALIFICATIE!Y55</f>
        <v>FC Vondelpark</v>
      </c>
      <c r="K303" s="501"/>
      <c r="L303" s="502"/>
      <c r="M303" s="114"/>
      <c r="N303" s="115"/>
      <c r="O303" s="116"/>
    </row>
    <row r="304" spans="1:15" ht="12" customHeight="1" x14ac:dyDescent="0.25">
      <c r="A304" s="90"/>
      <c r="B304" s="99"/>
      <c r="C304" s="99"/>
      <c r="D304" s="99"/>
      <c r="E304" s="99"/>
      <c r="F304" s="99"/>
      <c r="G304" s="91"/>
      <c r="I304" s="90"/>
      <c r="J304" s="99"/>
      <c r="K304" s="99"/>
      <c r="L304" s="99"/>
      <c r="M304" s="99"/>
      <c r="N304" s="99"/>
      <c r="O304" s="91"/>
    </row>
    <row r="305" spans="1:15" ht="13.5" customHeight="1" x14ac:dyDescent="0.25">
      <c r="A305" s="90"/>
      <c r="B305" s="498" t="str">
        <f>B293</f>
        <v>SCOREKAART - HVC2016</v>
      </c>
      <c r="C305" s="498"/>
      <c r="D305" s="498"/>
      <c r="E305" s="498"/>
      <c r="F305" s="498"/>
      <c r="G305" s="91"/>
      <c r="I305" s="90"/>
      <c r="J305" s="498" t="str">
        <f>B293</f>
        <v>SCOREKAART - HVC2016</v>
      </c>
      <c r="K305" s="498"/>
      <c r="L305" s="498"/>
      <c r="M305" s="498"/>
      <c r="N305" s="498"/>
      <c r="O305" s="91"/>
    </row>
    <row r="306" spans="1:15" ht="11.25" customHeight="1" thickBot="1" x14ac:dyDescent="0.3">
      <c r="A306" s="101"/>
      <c r="B306" s="102"/>
      <c r="C306" s="102"/>
      <c r="D306" s="102"/>
      <c r="E306" s="102"/>
      <c r="F306" s="102"/>
      <c r="G306" s="103"/>
      <c r="I306" s="101"/>
      <c r="J306" s="102"/>
      <c r="K306" s="102"/>
      <c r="L306" s="102"/>
      <c r="M306" s="102"/>
      <c r="N306" s="102"/>
      <c r="O306" s="103"/>
    </row>
    <row r="307" spans="1:15" ht="14.1" customHeight="1" thickBot="1" x14ac:dyDescent="0.3">
      <c r="A307" s="107"/>
      <c r="B307" s="99"/>
      <c r="C307" s="99"/>
      <c r="D307" s="99"/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107"/>
    </row>
    <row r="308" spans="1:15" ht="16.5" customHeight="1" thickBot="1" x14ac:dyDescent="0.3">
      <c r="A308" s="86"/>
      <c r="B308" s="87"/>
      <c r="C308" s="87"/>
      <c r="D308" s="87"/>
      <c r="E308" s="87"/>
      <c r="F308" s="87"/>
      <c r="G308" s="88"/>
      <c r="I308" s="86"/>
      <c r="J308" s="87"/>
      <c r="K308" s="87"/>
      <c r="L308" s="87"/>
      <c r="M308" s="87"/>
      <c r="N308" s="87"/>
      <c r="O308" s="88"/>
    </row>
    <row r="309" spans="1:15" ht="20.100000000000001" customHeight="1" thickBot="1" x14ac:dyDescent="0.3">
      <c r="A309" s="90"/>
      <c r="B309" s="503" t="str">
        <f>B285</f>
        <v>KWALIFICATIE</v>
      </c>
      <c r="C309" s="504"/>
      <c r="D309" s="505"/>
      <c r="E309" s="106"/>
      <c r="F309" s="105" t="str">
        <f>F285</f>
        <v>RONDE 9</v>
      </c>
      <c r="G309" s="91"/>
      <c r="I309" s="90"/>
      <c r="J309" s="503" t="str">
        <f>B285</f>
        <v>KWALIFICATIE</v>
      </c>
      <c r="K309" s="504"/>
      <c r="L309" s="505"/>
      <c r="M309" s="106"/>
      <c r="N309" s="105" t="str">
        <f>F285</f>
        <v>RONDE 9</v>
      </c>
      <c r="O309" s="91"/>
    </row>
    <row r="310" spans="1:15" ht="13.5" customHeight="1" thickBot="1" x14ac:dyDescent="0.3">
      <c r="A310" s="90"/>
      <c r="B310" s="92"/>
      <c r="C310" s="92"/>
      <c r="D310" s="92"/>
      <c r="E310" s="92"/>
      <c r="F310" s="93"/>
      <c r="G310" s="91"/>
      <c r="I310" s="90"/>
      <c r="J310" s="92"/>
      <c r="K310" s="92"/>
      <c r="L310" s="92"/>
      <c r="M310" s="92"/>
      <c r="N310" s="93"/>
      <c r="O310" s="91"/>
    </row>
    <row r="311" spans="1:15" ht="20.100000000000001" customHeight="1" thickBot="1" x14ac:dyDescent="0.3">
      <c r="A311" s="94"/>
      <c r="B311" s="495" t="str">
        <f>B287</f>
        <v>12:30 - 12:45 uur</v>
      </c>
      <c r="C311" s="496"/>
      <c r="D311" s="496"/>
      <c r="E311" s="497"/>
      <c r="F311" s="104" t="s">
        <v>253</v>
      </c>
      <c r="G311" s="95"/>
      <c r="H311" s="96"/>
      <c r="I311" s="94"/>
      <c r="J311" s="495" t="str">
        <f>B287</f>
        <v>12:30 - 12:45 uur</v>
      </c>
      <c r="K311" s="496"/>
      <c r="L311" s="496"/>
      <c r="M311" s="497"/>
      <c r="N311" s="104" t="s">
        <v>254</v>
      </c>
      <c r="O311" s="95"/>
    </row>
    <row r="312" spans="1:15" ht="13.5" customHeight="1" thickBot="1" x14ac:dyDescent="0.3">
      <c r="A312" s="90"/>
      <c r="B312" s="97"/>
      <c r="C312" s="92"/>
      <c r="D312" s="92"/>
      <c r="E312" s="92"/>
      <c r="F312" s="98"/>
      <c r="G312" s="91"/>
      <c r="I312" s="90"/>
      <c r="J312" s="97"/>
      <c r="K312" s="92"/>
      <c r="L312" s="92"/>
      <c r="M312" s="92"/>
      <c r="N312" s="98"/>
      <c r="O312" s="91"/>
    </row>
    <row r="313" spans="1:15" s="117" customFormat="1" ht="30" customHeight="1" thickBot="1" x14ac:dyDescent="0.35">
      <c r="A313" s="113"/>
      <c r="B313" s="359" t="str">
        <f>KWALIFICATIE!T56</f>
        <v>Carte blanche</v>
      </c>
      <c r="C313" s="360"/>
      <c r="D313" s="361"/>
      <c r="E313" s="114"/>
      <c r="F313" s="115"/>
      <c r="G313" s="116"/>
      <c r="I313" s="113"/>
      <c r="J313" s="359" t="str">
        <f>KWALIFICATIE!T57</f>
        <v>MAN ON F.C</v>
      </c>
      <c r="K313" s="360"/>
      <c r="L313" s="361"/>
      <c r="M313" s="114"/>
      <c r="N313" s="115"/>
      <c r="O313" s="116"/>
    </row>
    <row r="314" spans="1:15" ht="16.5" thickBot="1" x14ac:dyDescent="0.3">
      <c r="A314" s="90"/>
      <c r="B314" s="99"/>
      <c r="C314" s="99"/>
      <c r="D314" s="99"/>
      <c r="E314" s="99"/>
      <c r="F314" s="99"/>
      <c r="G314" s="91"/>
      <c r="I314" s="90"/>
      <c r="J314" s="99"/>
      <c r="K314" s="99"/>
      <c r="L314" s="99"/>
      <c r="M314" s="99"/>
      <c r="N314" s="99"/>
      <c r="O314" s="91"/>
    </row>
    <row r="315" spans="1:15" s="117" customFormat="1" ht="30" customHeight="1" thickBot="1" x14ac:dyDescent="0.35">
      <c r="A315" s="113"/>
      <c r="B315" s="359" t="str">
        <f>KWALIFICATIE!Y56</f>
        <v>IRRIDUCIBILI</v>
      </c>
      <c r="C315" s="360"/>
      <c r="D315" s="361"/>
      <c r="E315" s="114"/>
      <c r="F315" s="115"/>
      <c r="G315" s="116"/>
      <c r="I315" s="113"/>
      <c r="J315" s="359" t="str">
        <f>KWALIFICATIE!Y57</f>
        <v>FC Carnabal</v>
      </c>
      <c r="K315" s="360"/>
      <c r="L315" s="361"/>
      <c r="M315" s="114"/>
      <c r="N315" s="115"/>
      <c r="O315" s="116"/>
    </row>
    <row r="316" spans="1:15" ht="12" customHeight="1" x14ac:dyDescent="0.25">
      <c r="A316" s="90"/>
      <c r="B316" s="99"/>
      <c r="C316" s="99"/>
      <c r="D316" s="99"/>
      <c r="E316" s="99"/>
      <c r="F316" s="99"/>
      <c r="G316" s="91"/>
      <c r="I316" s="90"/>
      <c r="J316" s="99"/>
      <c r="K316" s="99"/>
      <c r="L316" s="99"/>
      <c r="M316" s="99"/>
      <c r="N316" s="99"/>
      <c r="O316" s="91"/>
    </row>
    <row r="317" spans="1:15" ht="13.5" customHeight="1" x14ac:dyDescent="0.25">
      <c r="A317" s="90"/>
      <c r="B317" s="498" t="str">
        <f>B293</f>
        <v>SCOREKAART - HVC2016</v>
      </c>
      <c r="C317" s="498"/>
      <c r="D317" s="498"/>
      <c r="E317" s="498"/>
      <c r="F317" s="498"/>
      <c r="G317" s="91"/>
      <c r="I317" s="90"/>
      <c r="J317" s="498" t="str">
        <f>B293</f>
        <v>SCOREKAART - HVC2016</v>
      </c>
      <c r="K317" s="498"/>
      <c r="L317" s="498"/>
      <c r="M317" s="498"/>
      <c r="N317" s="498"/>
      <c r="O317" s="91"/>
    </row>
    <row r="318" spans="1:15" ht="12" customHeight="1" thickBot="1" x14ac:dyDescent="0.3">
      <c r="A318" s="101"/>
      <c r="B318" s="102"/>
      <c r="C318" s="102"/>
      <c r="D318" s="102"/>
      <c r="E318" s="102"/>
      <c r="F318" s="102"/>
      <c r="G318" s="103"/>
      <c r="I318" s="101"/>
      <c r="J318" s="102"/>
      <c r="K318" s="102"/>
      <c r="L318" s="102"/>
      <c r="M318" s="102"/>
      <c r="N318" s="102"/>
      <c r="O318" s="103"/>
    </row>
    <row r="319" spans="1:15" ht="14.1" customHeight="1" thickBot="1" x14ac:dyDescent="0.3">
      <c r="A319" s="107"/>
      <c r="B319" s="99"/>
      <c r="C319" s="99"/>
      <c r="D319" s="99"/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107"/>
    </row>
    <row r="320" spans="1:15" ht="16.5" thickBot="1" x14ac:dyDescent="0.3">
      <c r="A320" s="86"/>
      <c r="B320" s="87"/>
      <c r="C320" s="87"/>
      <c r="D320" s="87"/>
      <c r="E320" s="87"/>
      <c r="F320" s="87"/>
      <c r="G320" s="88"/>
      <c r="I320" s="86"/>
      <c r="J320" s="87"/>
      <c r="K320" s="87"/>
      <c r="L320" s="87"/>
      <c r="M320" s="87"/>
      <c r="N320" s="87"/>
      <c r="O320" s="88"/>
    </row>
    <row r="321" spans="1:15" ht="20.100000000000001" customHeight="1" thickBot="1" x14ac:dyDescent="0.3">
      <c r="A321" s="90"/>
      <c r="B321" s="503" t="str">
        <f>B285</f>
        <v>KWALIFICATIE</v>
      </c>
      <c r="C321" s="504"/>
      <c r="D321" s="505"/>
      <c r="E321" s="106"/>
      <c r="F321" s="136" t="s">
        <v>30</v>
      </c>
      <c r="G321" s="91"/>
      <c r="I321" s="90"/>
      <c r="J321" s="503" t="str">
        <f>B285</f>
        <v>KWALIFICATIE</v>
      </c>
      <c r="K321" s="504"/>
      <c r="L321" s="505"/>
      <c r="M321" s="106"/>
      <c r="N321" s="136" t="s">
        <v>30</v>
      </c>
      <c r="O321" s="91"/>
    </row>
    <row r="322" spans="1:15" ht="13.5" customHeight="1" thickBot="1" x14ac:dyDescent="0.3">
      <c r="A322" s="90"/>
      <c r="B322" s="92"/>
      <c r="C322" s="92"/>
      <c r="D322" s="92"/>
      <c r="E322" s="92"/>
      <c r="F322" s="93"/>
      <c r="G322" s="91"/>
      <c r="I322" s="90"/>
      <c r="J322" s="92"/>
      <c r="K322" s="92"/>
      <c r="L322" s="92"/>
      <c r="M322" s="92"/>
      <c r="N322" s="93"/>
      <c r="O322" s="91"/>
    </row>
    <row r="323" spans="1:15" ht="20.100000000000001" customHeight="1" thickBot="1" x14ac:dyDescent="0.3">
      <c r="A323" s="94"/>
      <c r="B323" s="499" t="str">
        <f>START!B11</f>
        <v>12:45 - 13:00 uur</v>
      </c>
      <c r="C323" s="496"/>
      <c r="D323" s="496"/>
      <c r="E323" s="497"/>
      <c r="F323" s="104" t="s">
        <v>249</v>
      </c>
      <c r="G323" s="95"/>
      <c r="H323" s="96"/>
      <c r="I323" s="94"/>
      <c r="J323" s="499" t="str">
        <f>B323</f>
        <v>12:45 - 13:00 uur</v>
      </c>
      <c r="K323" s="496"/>
      <c r="L323" s="496"/>
      <c r="M323" s="497"/>
      <c r="N323" s="104" t="s">
        <v>250</v>
      </c>
      <c r="O323" s="95"/>
    </row>
    <row r="324" spans="1:15" ht="13.5" customHeight="1" thickBot="1" x14ac:dyDescent="0.3">
      <c r="A324" s="90"/>
      <c r="B324" s="97"/>
      <c r="C324" s="92"/>
      <c r="D324" s="92"/>
      <c r="E324" s="92"/>
      <c r="F324" s="98"/>
      <c r="G324" s="91"/>
      <c r="I324" s="90"/>
      <c r="J324" s="97"/>
      <c r="K324" s="92"/>
      <c r="L324" s="92"/>
      <c r="M324" s="92"/>
      <c r="N324" s="98"/>
      <c r="O324" s="91"/>
    </row>
    <row r="325" spans="1:15" s="117" customFormat="1" ht="30" customHeight="1" thickBot="1" x14ac:dyDescent="0.35">
      <c r="A325" s="113"/>
      <c r="B325" s="359" t="str">
        <f>KWALIFICATIE!T60</f>
        <v>Pilsmaten</v>
      </c>
      <c r="C325" s="360"/>
      <c r="D325" s="361"/>
      <c r="E325" s="114"/>
      <c r="F325" s="115"/>
      <c r="G325" s="116"/>
      <c r="I325" s="113"/>
      <c r="J325" s="359" t="str">
        <f>KWALIFICATIE!T61</f>
        <v>Geuzenmiddenmeer</v>
      </c>
      <c r="K325" s="360"/>
      <c r="L325" s="361"/>
      <c r="M325" s="114"/>
      <c r="N325" s="115"/>
      <c r="O325" s="116"/>
    </row>
    <row r="326" spans="1:15" ht="16.5" thickBot="1" x14ac:dyDescent="0.3">
      <c r="A326" s="90"/>
      <c r="B326" s="99"/>
      <c r="C326" s="99"/>
      <c r="D326" s="99"/>
      <c r="E326" s="99"/>
      <c r="F326" s="99"/>
      <c r="G326" s="91"/>
      <c r="I326" s="90"/>
      <c r="J326" s="99"/>
      <c r="K326" s="99"/>
      <c r="L326" s="99"/>
      <c r="M326" s="99"/>
      <c r="N326" s="99"/>
      <c r="O326" s="91"/>
    </row>
    <row r="327" spans="1:15" s="117" customFormat="1" ht="30" customHeight="1" thickBot="1" x14ac:dyDescent="0.35">
      <c r="A327" s="113"/>
      <c r="B327" s="359" t="str">
        <f>KWALIFICATIE!Y60</f>
        <v>Rap</v>
      </c>
      <c r="C327" s="360"/>
      <c r="D327" s="361"/>
      <c r="E327" s="114"/>
      <c r="F327" s="115"/>
      <c r="G327" s="116"/>
      <c r="I327" s="113"/>
      <c r="J327" s="359" t="str">
        <f>KWALIFICATIE!Y61</f>
        <v>De Dinkies</v>
      </c>
      <c r="K327" s="360"/>
      <c r="L327" s="361"/>
      <c r="M327" s="114"/>
      <c r="N327" s="115"/>
      <c r="O327" s="116"/>
    </row>
    <row r="328" spans="1:15" ht="12" customHeight="1" x14ac:dyDescent="0.25">
      <c r="A328" s="90"/>
      <c r="B328" s="99"/>
      <c r="C328" s="99"/>
      <c r="D328" s="99"/>
      <c r="E328" s="99"/>
      <c r="F328" s="99"/>
      <c r="G328" s="91"/>
      <c r="I328" s="90"/>
      <c r="J328" s="99"/>
      <c r="K328" s="99"/>
      <c r="L328" s="99"/>
      <c r="M328" s="99"/>
      <c r="N328" s="99"/>
      <c r="O328" s="91"/>
    </row>
    <row r="329" spans="1:15" ht="13.5" customHeight="1" x14ac:dyDescent="0.25">
      <c r="A329" s="90"/>
      <c r="B329" s="498" t="str">
        <f>B293</f>
        <v>SCOREKAART - HVC2016</v>
      </c>
      <c r="C329" s="498"/>
      <c r="D329" s="498"/>
      <c r="E329" s="498"/>
      <c r="F329" s="498"/>
      <c r="G329" s="91"/>
      <c r="I329" s="90"/>
      <c r="J329" s="498" t="str">
        <f>B293</f>
        <v>SCOREKAART - HVC2016</v>
      </c>
      <c r="K329" s="498"/>
      <c r="L329" s="498"/>
      <c r="M329" s="498"/>
      <c r="N329" s="498"/>
      <c r="O329" s="91"/>
    </row>
    <row r="330" spans="1:15" ht="12" customHeight="1" thickBot="1" x14ac:dyDescent="0.3">
      <c r="A330" s="101"/>
      <c r="B330" s="102"/>
      <c r="C330" s="102"/>
      <c r="D330" s="102"/>
      <c r="E330" s="102"/>
      <c r="F330" s="102"/>
      <c r="G330" s="103"/>
      <c r="I330" s="101"/>
      <c r="J330" s="102"/>
      <c r="K330" s="102"/>
      <c r="L330" s="102"/>
      <c r="M330" s="102"/>
      <c r="N330" s="102"/>
      <c r="O330" s="103"/>
    </row>
    <row r="331" spans="1:15" ht="16.5" thickBot="1" x14ac:dyDescent="0.3">
      <c r="A331" s="86"/>
      <c r="B331" s="87"/>
      <c r="C331" s="87"/>
      <c r="D331" s="87"/>
      <c r="E331" s="87"/>
      <c r="F331" s="87"/>
      <c r="G331" s="88"/>
      <c r="I331" s="86"/>
      <c r="J331" s="87"/>
      <c r="K331" s="87"/>
      <c r="L331" s="87"/>
      <c r="M331" s="87"/>
      <c r="N331" s="87"/>
      <c r="O331" s="88"/>
    </row>
    <row r="332" spans="1:15" ht="20.25" customHeight="1" thickBot="1" x14ac:dyDescent="0.3">
      <c r="A332" s="90"/>
      <c r="B332" s="506" t="str">
        <f>START!D9</f>
        <v>KWALIFICATIE</v>
      </c>
      <c r="C332" s="504"/>
      <c r="D332" s="505"/>
      <c r="E332" s="106"/>
      <c r="F332" s="136" t="s">
        <v>30</v>
      </c>
      <c r="G332" s="91"/>
      <c r="I332" s="90"/>
      <c r="J332" s="503" t="str">
        <f>B332</f>
        <v>KWALIFICATIE</v>
      </c>
      <c r="K332" s="504"/>
      <c r="L332" s="505"/>
      <c r="M332" s="106"/>
      <c r="N332" s="105" t="str">
        <f>F332</f>
        <v>RONDE 10</v>
      </c>
      <c r="O332" s="91"/>
    </row>
    <row r="333" spans="1:15" ht="9.75" customHeight="1" thickBot="1" x14ac:dyDescent="0.3">
      <c r="A333" s="90"/>
      <c r="B333" s="92"/>
      <c r="C333" s="92"/>
      <c r="D333" s="92"/>
      <c r="E333" s="92"/>
      <c r="F333" s="93"/>
      <c r="G333" s="91"/>
      <c r="I333" s="90"/>
      <c r="J333" s="92"/>
      <c r="K333" s="92"/>
      <c r="L333" s="92"/>
      <c r="M333" s="92"/>
      <c r="N333" s="93"/>
      <c r="O333" s="91"/>
    </row>
    <row r="334" spans="1:15" s="96" customFormat="1" ht="19.5" customHeight="1" thickBot="1" x14ac:dyDescent="0.3">
      <c r="A334" s="94"/>
      <c r="B334" s="499" t="str">
        <f>B323</f>
        <v>12:45 - 13:00 uur</v>
      </c>
      <c r="C334" s="496"/>
      <c r="D334" s="496"/>
      <c r="E334" s="497"/>
      <c r="F334" s="104" t="s">
        <v>251</v>
      </c>
      <c r="G334" s="95"/>
      <c r="I334" s="94"/>
      <c r="J334" s="495" t="str">
        <f>B334</f>
        <v>12:45 - 13:00 uur</v>
      </c>
      <c r="K334" s="496"/>
      <c r="L334" s="496"/>
      <c r="M334" s="497"/>
      <c r="N334" s="104" t="s">
        <v>252</v>
      </c>
      <c r="O334" s="95"/>
    </row>
    <row r="335" spans="1:15" ht="14.25" customHeight="1" thickBot="1" x14ac:dyDescent="0.3">
      <c r="A335" s="90"/>
      <c r="B335" s="97"/>
      <c r="C335" s="92"/>
      <c r="D335" s="92"/>
      <c r="E335" s="92"/>
      <c r="F335" s="98"/>
      <c r="G335" s="91"/>
      <c r="I335" s="90"/>
      <c r="J335" s="97"/>
      <c r="K335" s="92"/>
      <c r="L335" s="92"/>
      <c r="M335" s="92"/>
      <c r="N335" s="98"/>
      <c r="O335" s="91"/>
    </row>
    <row r="336" spans="1:15" s="117" customFormat="1" ht="30" customHeight="1" thickBot="1" x14ac:dyDescent="0.35">
      <c r="A336" s="113"/>
      <c r="B336" s="359" t="str">
        <f>KWALIFICATIE!T62</f>
        <v>Scherp Online</v>
      </c>
      <c r="C336" s="360"/>
      <c r="D336" s="361"/>
      <c r="E336" s="114"/>
      <c r="F336" s="115"/>
      <c r="G336" s="116"/>
      <c r="I336" s="113"/>
      <c r="J336" s="359" t="str">
        <f>KWALIFICATIE!T63</f>
        <v>Sammi's Sweathearts</v>
      </c>
      <c r="K336" s="360"/>
      <c r="L336" s="361"/>
      <c r="M336" s="114"/>
      <c r="N336" s="115"/>
      <c r="O336" s="116"/>
    </row>
    <row r="337" spans="1:15" ht="16.5" thickBot="1" x14ac:dyDescent="0.3">
      <c r="A337" s="90"/>
      <c r="B337" s="99"/>
      <c r="C337" s="99"/>
      <c r="D337" s="99"/>
      <c r="E337" s="99"/>
      <c r="F337" s="99"/>
      <c r="G337" s="91"/>
      <c r="I337" s="90"/>
      <c r="J337" s="99"/>
      <c r="K337" s="99"/>
      <c r="L337" s="99"/>
      <c r="M337" s="99"/>
      <c r="N337" s="99"/>
      <c r="O337" s="91"/>
    </row>
    <row r="338" spans="1:15" s="117" customFormat="1" ht="30" customHeight="1" thickBot="1" x14ac:dyDescent="0.35">
      <c r="A338" s="113"/>
      <c r="B338" s="359" t="str">
        <f>KWALIFICATIE!Y62</f>
        <v>Fred Bacon Zalf-fabriekje</v>
      </c>
      <c r="C338" s="360"/>
      <c r="D338" s="361"/>
      <c r="E338" s="114"/>
      <c r="F338" s="115"/>
      <c r="G338" s="116"/>
      <c r="I338" s="113"/>
      <c r="J338" s="359" t="str">
        <f>KWALIFICATIE!Y63</f>
        <v>Team Bublé</v>
      </c>
      <c r="K338" s="360"/>
      <c r="L338" s="361"/>
      <c r="M338" s="114"/>
      <c r="N338" s="115"/>
      <c r="O338" s="116"/>
    </row>
    <row r="339" spans="1:15" ht="12" customHeight="1" x14ac:dyDescent="0.25">
      <c r="A339" s="90"/>
      <c r="B339" s="99"/>
      <c r="C339" s="99"/>
      <c r="D339" s="99"/>
      <c r="E339" s="99"/>
      <c r="F339" s="99"/>
      <c r="G339" s="91"/>
      <c r="I339" s="90"/>
      <c r="J339" s="99"/>
      <c r="K339" s="99"/>
      <c r="L339" s="99"/>
      <c r="M339" s="99"/>
      <c r="N339" s="99"/>
      <c r="O339" s="91"/>
    </row>
    <row r="340" spans="1:15" ht="13.5" customHeight="1" x14ac:dyDescent="0.25">
      <c r="A340" s="90"/>
      <c r="B340" s="498" t="str">
        <f>B329</f>
        <v>SCOREKAART - HVC2016</v>
      </c>
      <c r="C340" s="498"/>
      <c r="D340" s="498"/>
      <c r="E340" s="498"/>
      <c r="F340" s="498"/>
      <c r="G340" s="91"/>
      <c r="I340" s="90"/>
      <c r="J340" s="498" t="str">
        <f>B340</f>
        <v>SCOREKAART - HVC2016</v>
      </c>
      <c r="K340" s="498"/>
      <c r="L340" s="498"/>
      <c r="M340" s="498"/>
      <c r="N340" s="498"/>
      <c r="O340" s="91"/>
    </row>
    <row r="341" spans="1:15" ht="11.25" customHeight="1" thickBot="1" x14ac:dyDescent="0.3">
      <c r="A341" s="101"/>
      <c r="B341" s="102"/>
      <c r="C341" s="102"/>
      <c r="D341" s="102"/>
      <c r="E341" s="102"/>
      <c r="F341" s="102"/>
      <c r="G341" s="103"/>
      <c r="I341" s="101"/>
      <c r="J341" s="102"/>
      <c r="K341" s="102"/>
      <c r="L341" s="102"/>
      <c r="M341" s="102"/>
      <c r="N341" s="102"/>
      <c r="O341" s="103"/>
    </row>
    <row r="342" spans="1:15" ht="13.5" customHeight="1" thickBot="1" x14ac:dyDescent="0.3">
      <c r="A342" s="99"/>
      <c r="B342" s="99"/>
      <c r="C342" s="99"/>
      <c r="D342" s="99"/>
      <c r="E342" s="99"/>
      <c r="F342" s="99"/>
      <c r="G342" s="99"/>
      <c r="I342" s="99"/>
      <c r="J342" s="99"/>
      <c r="K342" s="99"/>
      <c r="L342" s="99"/>
      <c r="M342" s="99"/>
      <c r="N342" s="99"/>
      <c r="O342" s="99"/>
    </row>
    <row r="343" spans="1:15" ht="16.5" thickBot="1" x14ac:dyDescent="0.3">
      <c r="A343" s="86"/>
      <c r="B343" s="87"/>
      <c r="C343" s="87"/>
      <c r="D343" s="87"/>
      <c r="E343" s="87"/>
      <c r="F343" s="87"/>
      <c r="G343" s="88"/>
      <c r="I343" s="86"/>
      <c r="J343" s="87"/>
      <c r="K343" s="87"/>
      <c r="L343" s="87"/>
      <c r="M343" s="87"/>
      <c r="N343" s="87"/>
      <c r="O343" s="88"/>
    </row>
    <row r="344" spans="1:15" ht="20.100000000000001" customHeight="1" thickBot="1" x14ac:dyDescent="0.3">
      <c r="A344" s="90"/>
      <c r="B344" s="503" t="str">
        <f>B332</f>
        <v>KWALIFICATIE</v>
      </c>
      <c r="C344" s="504"/>
      <c r="D344" s="505"/>
      <c r="E344" s="106"/>
      <c r="F344" s="105" t="str">
        <f>F332</f>
        <v>RONDE 10</v>
      </c>
      <c r="G344" s="91"/>
      <c r="I344" s="90"/>
      <c r="J344" s="503" t="str">
        <f>B332</f>
        <v>KWALIFICATIE</v>
      </c>
      <c r="K344" s="504"/>
      <c r="L344" s="505"/>
      <c r="M344" s="106"/>
      <c r="N344" s="105" t="str">
        <f>F332</f>
        <v>RONDE 10</v>
      </c>
      <c r="O344" s="91"/>
    </row>
    <row r="345" spans="1:15" ht="9.75" customHeight="1" thickBot="1" x14ac:dyDescent="0.3">
      <c r="A345" s="90"/>
      <c r="B345" s="92"/>
      <c r="C345" s="92"/>
      <c r="D345" s="92"/>
      <c r="E345" s="92"/>
      <c r="F345" s="93"/>
      <c r="G345" s="91"/>
      <c r="I345" s="90"/>
      <c r="J345" s="92"/>
      <c r="K345" s="92"/>
      <c r="L345" s="92"/>
      <c r="M345" s="92"/>
      <c r="N345" s="93"/>
      <c r="O345" s="91"/>
    </row>
    <row r="346" spans="1:15" ht="20.100000000000001" customHeight="1" thickBot="1" x14ac:dyDescent="0.3">
      <c r="A346" s="94"/>
      <c r="B346" s="495" t="str">
        <f>B334</f>
        <v>12:45 - 13:00 uur</v>
      </c>
      <c r="C346" s="496"/>
      <c r="D346" s="496"/>
      <c r="E346" s="497"/>
      <c r="F346" s="104" t="s">
        <v>253</v>
      </c>
      <c r="G346" s="95"/>
      <c r="H346" s="96"/>
      <c r="I346" s="94"/>
      <c r="J346" s="495" t="str">
        <f>B334</f>
        <v>12:45 - 13:00 uur</v>
      </c>
      <c r="K346" s="496"/>
      <c r="L346" s="496"/>
      <c r="M346" s="497"/>
      <c r="N346" s="104" t="s">
        <v>254</v>
      </c>
      <c r="O346" s="95"/>
    </row>
    <row r="347" spans="1:15" ht="13.5" customHeight="1" thickBot="1" x14ac:dyDescent="0.3">
      <c r="A347" s="90"/>
      <c r="B347" s="97"/>
      <c r="C347" s="92"/>
      <c r="D347" s="92"/>
      <c r="E347" s="92"/>
      <c r="F347" s="98"/>
      <c r="G347" s="91"/>
      <c r="I347" s="90"/>
      <c r="J347" s="97"/>
      <c r="K347" s="92"/>
      <c r="L347" s="92"/>
      <c r="M347" s="92"/>
      <c r="N347" s="98"/>
      <c r="O347" s="91"/>
    </row>
    <row r="348" spans="1:15" s="117" customFormat="1" ht="30" customHeight="1" thickBot="1" x14ac:dyDescent="0.35">
      <c r="A348" s="113"/>
      <c r="B348" s="359" t="str">
        <f>KWALIFICATIE!T64</f>
        <v>Correctie veld 4</v>
      </c>
      <c r="C348" s="360"/>
      <c r="D348" s="361"/>
      <c r="E348" s="114"/>
      <c r="F348" s="115"/>
      <c r="G348" s="116"/>
      <c r="I348" s="113"/>
      <c r="J348" s="359" t="str">
        <f>KWALIFICATIE!T65</f>
        <v>Combiwel</v>
      </c>
      <c r="K348" s="360"/>
      <c r="L348" s="361"/>
      <c r="M348" s="114"/>
      <c r="N348" s="115"/>
      <c r="O348" s="116"/>
    </row>
    <row r="349" spans="1:15" ht="16.5" thickBot="1" x14ac:dyDescent="0.3">
      <c r="A349" s="90"/>
      <c r="B349" s="99"/>
      <c r="C349" s="99"/>
      <c r="D349" s="99"/>
      <c r="E349" s="99"/>
      <c r="F349" s="99"/>
      <c r="G349" s="91"/>
      <c r="I349" s="90"/>
      <c r="J349" s="99"/>
      <c r="K349" s="99"/>
      <c r="L349" s="99"/>
      <c r="M349" s="99"/>
      <c r="N349" s="99"/>
      <c r="O349" s="91"/>
    </row>
    <row r="350" spans="1:15" s="117" customFormat="1" ht="30" customHeight="1" thickBot="1" x14ac:dyDescent="0.35">
      <c r="A350" s="113"/>
      <c r="B350" s="359" t="str">
        <f>KWALIFICATIE!Y64</f>
        <v>Swiffie 5</v>
      </c>
      <c r="C350" s="360"/>
      <c r="D350" s="361"/>
      <c r="E350" s="114"/>
      <c r="F350" s="115"/>
      <c r="G350" s="116"/>
      <c r="I350" s="113"/>
      <c r="J350" s="359" t="str">
        <f>KWALIFICATIE!Y65</f>
        <v>Sporting Almere</v>
      </c>
      <c r="K350" s="360"/>
      <c r="L350" s="361"/>
      <c r="M350" s="114"/>
      <c r="N350" s="115"/>
      <c r="O350" s="116"/>
    </row>
    <row r="351" spans="1:15" ht="12" customHeight="1" x14ac:dyDescent="0.25">
      <c r="A351" s="90"/>
      <c r="B351" s="99"/>
      <c r="C351" s="99"/>
      <c r="D351" s="99"/>
      <c r="E351" s="99"/>
      <c r="F351" s="99"/>
      <c r="G351" s="91"/>
      <c r="I351" s="90"/>
      <c r="J351" s="99"/>
      <c r="K351" s="99"/>
      <c r="L351" s="99"/>
      <c r="M351" s="99"/>
      <c r="N351" s="99"/>
      <c r="O351" s="91"/>
    </row>
    <row r="352" spans="1:15" ht="13.5" customHeight="1" x14ac:dyDescent="0.25">
      <c r="A352" s="90"/>
      <c r="B352" s="498" t="str">
        <f>B340</f>
        <v>SCOREKAART - HVC2016</v>
      </c>
      <c r="C352" s="498"/>
      <c r="D352" s="498"/>
      <c r="E352" s="498"/>
      <c r="F352" s="498"/>
      <c r="G352" s="91"/>
      <c r="I352" s="90"/>
      <c r="J352" s="498" t="str">
        <f>B340</f>
        <v>SCOREKAART - HVC2016</v>
      </c>
      <c r="K352" s="498"/>
      <c r="L352" s="498"/>
      <c r="M352" s="498"/>
      <c r="N352" s="498"/>
      <c r="O352" s="91"/>
    </row>
    <row r="353" spans="1:15" ht="11.25" customHeight="1" x14ac:dyDescent="0.25">
      <c r="A353" s="90"/>
      <c r="B353" s="99"/>
      <c r="C353" s="99"/>
      <c r="D353" s="99"/>
      <c r="E353" s="99"/>
      <c r="F353" s="99"/>
      <c r="G353" s="91"/>
      <c r="I353" s="90"/>
      <c r="J353" s="99"/>
      <c r="K353" s="99"/>
      <c r="L353" s="99"/>
      <c r="M353" s="99"/>
      <c r="N353" s="99"/>
      <c r="O353" s="91"/>
    </row>
    <row r="354" spans="1:15" ht="14.1" customHeight="1" x14ac:dyDescent="0.25">
      <c r="A354" s="92"/>
      <c r="B354" s="92"/>
      <c r="C354" s="92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</row>
    <row r="355" spans="1:15" ht="16.5" customHeight="1" x14ac:dyDescent="0.25">
      <c r="A355" s="92"/>
      <c r="B355" s="92"/>
      <c r="C355" s="92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</row>
    <row r="356" spans="1:15" ht="20.100000000000001" customHeight="1" x14ac:dyDescent="0.25">
      <c r="A356" s="92"/>
      <c r="B356" s="494"/>
      <c r="C356" s="494"/>
      <c r="D356" s="494"/>
      <c r="E356" s="362"/>
      <c r="F356" s="125"/>
      <c r="G356" s="92"/>
      <c r="H356" s="92"/>
      <c r="I356" s="92"/>
      <c r="J356" s="494"/>
      <c r="K356" s="494"/>
      <c r="L356" s="494"/>
      <c r="M356" s="362"/>
      <c r="N356" s="125"/>
      <c r="O356" s="92"/>
    </row>
    <row r="357" spans="1:15" ht="13.5" customHeight="1" x14ac:dyDescent="0.25">
      <c r="A357" s="92"/>
      <c r="B357" s="92"/>
      <c r="C357" s="92"/>
      <c r="D357" s="92"/>
      <c r="E357" s="92"/>
      <c r="F357" s="98"/>
      <c r="G357" s="92"/>
      <c r="H357" s="92"/>
      <c r="I357" s="92"/>
      <c r="J357" s="92"/>
      <c r="K357" s="92"/>
      <c r="L357" s="92"/>
      <c r="M357" s="92"/>
      <c r="N357" s="98"/>
      <c r="O357" s="92"/>
    </row>
    <row r="358" spans="1:15" ht="20.100000000000001" customHeight="1" x14ac:dyDescent="0.25">
      <c r="A358" s="127"/>
      <c r="B358" s="492"/>
      <c r="C358" s="492"/>
      <c r="D358" s="492"/>
      <c r="E358" s="492"/>
      <c r="F358" s="126"/>
      <c r="G358" s="127"/>
      <c r="H358" s="127"/>
      <c r="I358" s="127"/>
      <c r="J358" s="492"/>
      <c r="K358" s="492"/>
      <c r="L358" s="492"/>
      <c r="M358" s="492"/>
      <c r="N358" s="126"/>
      <c r="O358" s="127"/>
    </row>
    <row r="359" spans="1:15" ht="13.5" customHeight="1" x14ac:dyDescent="0.25">
      <c r="A359" s="92"/>
      <c r="B359" s="97"/>
      <c r="C359" s="92"/>
      <c r="D359" s="92"/>
      <c r="E359" s="92"/>
      <c r="F359" s="98"/>
      <c r="G359" s="92"/>
      <c r="H359" s="92"/>
      <c r="I359" s="92"/>
      <c r="J359" s="97"/>
      <c r="K359" s="92"/>
      <c r="L359" s="92"/>
      <c r="M359" s="92"/>
      <c r="N359" s="98"/>
      <c r="O359" s="92"/>
    </row>
    <row r="360" spans="1:15" s="117" customFormat="1" ht="30" customHeight="1" x14ac:dyDescent="0.3">
      <c r="A360" s="137"/>
      <c r="B360" s="138"/>
      <c r="C360" s="138"/>
      <c r="D360" s="138"/>
      <c r="E360" s="137"/>
      <c r="F360" s="137"/>
      <c r="G360" s="137"/>
      <c r="H360" s="137"/>
      <c r="I360" s="137"/>
      <c r="J360" s="138"/>
      <c r="K360" s="138"/>
      <c r="L360" s="138"/>
      <c r="M360" s="137"/>
      <c r="N360" s="137"/>
      <c r="O360" s="137"/>
    </row>
    <row r="361" spans="1:15" x14ac:dyDescent="0.25">
      <c r="A361" s="92"/>
      <c r="B361" s="92"/>
      <c r="C361" s="92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</row>
    <row r="362" spans="1:15" s="117" customFormat="1" ht="30" customHeight="1" x14ac:dyDescent="0.3">
      <c r="A362" s="137"/>
      <c r="B362" s="138"/>
      <c r="C362" s="138"/>
      <c r="D362" s="138"/>
      <c r="E362" s="137"/>
      <c r="F362" s="137"/>
      <c r="G362" s="137"/>
      <c r="H362" s="137"/>
      <c r="I362" s="137"/>
      <c r="J362" s="138"/>
      <c r="K362" s="138"/>
      <c r="L362" s="138"/>
      <c r="M362" s="137"/>
      <c r="N362" s="137"/>
      <c r="O362" s="137"/>
    </row>
    <row r="363" spans="1:15" ht="12" customHeight="1" x14ac:dyDescent="0.25">
      <c r="A363" s="92"/>
      <c r="B363" s="92"/>
      <c r="C363" s="92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</row>
    <row r="364" spans="1:15" ht="13.5" customHeight="1" x14ac:dyDescent="0.25">
      <c r="A364" s="92"/>
      <c r="B364" s="493"/>
      <c r="C364" s="493"/>
      <c r="D364" s="493"/>
      <c r="E364" s="493"/>
      <c r="F364" s="493"/>
      <c r="G364" s="92"/>
      <c r="H364" s="92"/>
      <c r="I364" s="92"/>
      <c r="J364" s="493"/>
      <c r="K364" s="493"/>
      <c r="L364" s="493"/>
      <c r="M364" s="493"/>
      <c r="N364" s="493"/>
      <c r="O364" s="92"/>
    </row>
    <row r="365" spans="1:15" ht="12" customHeight="1" x14ac:dyDescent="0.25">
      <c r="A365" s="92"/>
      <c r="B365" s="92"/>
      <c r="C365" s="92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</row>
    <row r="366" spans="1:15" ht="14.1" customHeight="1" x14ac:dyDescent="0.25">
      <c r="A366" s="92"/>
      <c r="B366" s="92"/>
      <c r="C366" s="92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</row>
    <row r="367" spans="1:15" x14ac:dyDescent="0.25">
      <c r="A367" s="92"/>
      <c r="B367" s="92"/>
      <c r="C367" s="92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</row>
    <row r="368" spans="1:15" ht="20.100000000000001" customHeight="1" x14ac:dyDescent="0.25">
      <c r="A368" s="92"/>
      <c r="B368" s="494"/>
      <c r="C368" s="494"/>
      <c r="D368" s="494"/>
      <c r="E368" s="362"/>
      <c r="F368" s="125"/>
      <c r="G368" s="92"/>
      <c r="H368" s="92"/>
      <c r="I368" s="92"/>
      <c r="J368" s="494"/>
      <c r="K368" s="494"/>
      <c r="L368" s="494"/>
      <c r="M368" s="362"/>
      <c r="N368" s="125"/>
      <c r="O368" s="92"/>
    </row>
    <row r="369" spans="1:15" ht="13.5" customHeight="1" x14ac:dyDescent="0.25">
      <c r="A369" s="92"/>
      <c r="B369" s="92"/>
      <c r="C369" s="92"/>
      <c r="D369" s="92"/>
      <c r="E369" s="92"/>
      <c r="F369" s="98"/>
      <c r="G369" s="92"/>
      <c r="H369" s="92"/>
      <c r="I369" s="92"/>
      <c r="J369" s="92"/>
      <c r="K369" s="92"/>
      <c r="L369" s="92"/>
      <c r="M369" s="92"/>
      <c r="N369" s="98"/>
      <c r="O369" s="92"/>
    </row>
    <row r="370" spans="1:15" ht="20.100000000000001" customHeight="1" x14ac:dyDescent="0.25">
      <c r="A370" s="127"/>
      <c r="B370" s="492"/>
      <c r="C370" s="492"/>
      <c r="D370" s="492"/>
      <c r="E370" s="492"/>
      <c r="F370" s="126"/>
      <c r="G370" s="127"/>
      <c r="H370" s="127"/>
      <c r="I370" s="127"/>
      <c r="J370" s="492"/>
      <c r="K370" s="492"/>
      <c r="L370" s="492"/>
      <c r="M370" s="492"/>
      <c r="N370" s="126"/>
      <c r="O370" s="127"/>
    </row>
    <row r="371" spans="1:15" ht="13.5" customHeight="1" x14ac:dyDescent="0.25">
      <c r="A371" s="92"/>
      <c r="B371" s="97"/>
      <c r="C371" s="92"/>
      <c r="D371" s="92"/>
      <c r="E371" s="92"/>
      <c r="F371" s="98"/>
      <c r="G371" s="92"/>
      <c r="H371" s="92"/>
      <c r="I371" s="92"/>
      <c r="J371" s="97"/>
      <c r="K371" s="92"/>
      <c r="L371" s="92"/>
      <c r="M371" s="92"/>
      <c r="N371" s="98"/>
      <c r="O371" s="92"/>
    </row>
    <row r="372" spans="1:15" s="117" customFormat="1" ht="30" customHeight="1" x14ac:dyDescent="0.3">
      <c r="A372" s="137"/>
      <c r="B372" s="138"/>
      <c r="C372" s="138"/>
      <c r="D372" s="138"/>
      <c r="E372" s="137"/>
      <c r="F372" s="137"/>
      <c r="G372" s="137"/>
      <c r="H372" s="137"/>
      <c r="I372" s="137"/>
      <c r="J372" s="138"/>
      <c r="K372" s="138"/>
      <c r="L372" s="138"/>
      <c r="M372" s="137"/>
      <c r="N372" s="137"/>
      <c r="O372" s="137"/>
    </row>
    <row r="373" spans="1:15" x14ac:dyDescent="0.25">
      <c r="A373" s="92"/>
      <c r="B373" s="92"/>
      <c r="C373" s="92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</row>
    <row r="374" spans="1:15" s="117" customFormat="1" ht="30" customHeight="1" x14ac:dyDescent="0.3">
      <c r="A374" s="137"/>
      <c r="B374" s="138"/>
      <c r="C374" s="138"/>
      <c r="D374" s="138"/>
      <c r="E374" s="137"/>
      <c r="F374" s="137"/>
      <c r="G374" s="137"/>
      <c r="H374" s="137"/>
      <c r="I374" s="137"/>
      <c r="J374" s="138"/>
      <c r="K374" s="138"/>
      <c r="L374" s="138"/>
      <c r="M374" s="137"/>
      <c r="N374" s="137"/>
      <c r="O374" s="137"/>
    </row>
    <row r="375" spans="1:15" ht="12" customHeight="1" x14ac:dyDescent="0.25">
      <c r="A375" s="92"/>
      <c r="B375" s="92"/>
      <c r="C375" s="92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</row>
    <row r="376" spans="1:15" ht="13.5" customHeight="1" x14ac:dyDescent="0.25">
      <c r="A376" s="92"/>
      <c r="B376" s="493"/>
      <c r="C376" s="493"/>
      <c r="D376" s="493"/>
      <c r="E376" s="493"/>
      <c r="F376" s="493"/>
      <c r="G376" s="92"/>
      <c r="H376" s="92"/>
      <c r="I376" s="92"/>
      <c r="J376" s="493"/>
      <c r="K376" s="493"/>
      <c r="L376" s="493"/>
      <c r="M376" s="493"/>
      <c r="N376" s="493"/>
      <c r="O376" s="92"/>
    </row>
    <row r="377" spans="1:15" ht="12" customHeight="1" x14ac:dyDescent="0.25">
      <c r="A377" s="92"/>
      <c r="B377" s="92"/>
      <c r="C377" s="92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</row>
  </sheetData>
  <mergeCells count="287">
    <mergeCell ref="B376:F376"/>
    <mergeCell ref="J376:N376"/>
    <mergeCell ref="B368:D368"/>
    <mergeCell ref="J368:L368"/>
    <mergeCell ref="B370:E370"/>
    <mergeCell ref="J370:M370"/>
    <mergeCell ref="B346:E346"/>
    <mergeCell ref="J346:M346"/>
    <mergeCell ref="B340:F340"/>
    <mergeCell ref="J340:N340"/>
    <mergeCell ref="B358:E358"/>
    <mergeCell ref="J358:M358"/>
    <mergeCell ref="B364:F364"/>
    <mergeCell ref="J364:N364"/>
    <mergeCell ref="B352:F352"/>
    <mergeCell ref="J352:N352"/>
    <mergeCell ref="B356:D356"/>
    <mergeCell ref="J356:L356"/>
    <mergeCell ref="B332:D332"/>
    <mergeCell ref="J332:L332"/>
    <mergeCell ref="B334:E334"/>
    <mergeCell ref="J334:M334"/>
    <mergeCell ref="B323:E323"/>
    <mergeCell ref="J323:M323"/>
    <mergeCell ref="B329:F329"/>
    <mergeCell ref="J329:N329"/>
    <mergeCell ref="B344:D344"/>
    <mergeCell ref="J344:L344"/>
    <mergeCell ref="B305:F305"/>
    <mergeCell ref="J305:N305"/>
    <mergeCell ref="B301:D301"/>
    <mergeCell ref="J301:L301"/>
    <mergeCell ref="B303:D303"/>
    <mergeCell ref="J303:L303"/>
    <mergeCell ref="B317:F317"/>
    <mergeCell ref="J317:N317"/>
    <mergeCell ref="B321:D321"/>
    <mergeCell ref="J321:L321"/>
    <mergeCell ref="B309:D309"/>
    <mergeCell ref="J309:L309"/>
    <mergeCell ref="B311:E311"/>
    <mergeCell ref="J311:M311"/>
    <mergeCell ref="B293:F293"/>
    <mergeCell ref="J293:N293"/>
    <mergeCell ref="B297:D297"/>
    <mergeCell ref="J297:L297"/>
    <mergeCell ref="B285:D285"/>
    <mergeCell ref="J285:L285"/>
    <mergeCell ref="B287:E287"/>
    <mergeCell ref="J287:M287"/>
    <mergeCell ref="B299:E299"/>
    <mergeCell ref="J299:M299"/>
    <mergeCell ref="B276:E276"/>
    <mergeCell ref="J276:M276"/>
    <mergeCell ref="J207:L207"/>
    <mergeCell ref="B282:F282"/>
    <mergeCell ref="J282:N282"/>
    <mergeCell ref="B270:F270"/>
    <mergeCell ref="J270:N270"/>
    <mergeCell ref="B274:D274"/>
    <mergeCell ref="J274:L274"/>
    <mergeCell ref="B262:D262"/>
    <mergeCell ref="B268:D268"/>
    <mergeCell ref="J268:L268"/>
    <mergeCell ref="B235:F235"/>
    <mergeCell ref="J235:N235"/>
    <mergeCell ref="B238:D238"/>
    <mergeCell ref="J238:L238"/>
    <mergeCell ref="B240:E240"/>
    <mergeCell ref="J240:M240"/>
    <mergeCell ref="B246:F246"/>
    <mergeCell ref="J246:N246"/>
    <mergeCell ref="J262:L262"/>
    <mergeCell ref="B264:E264"/>
    <mergeCell ref="J264:M264"/>
    <mergeCell ref="B256:D256"/>
    <mergeCell ref="B199:F199"/>
    <mergeCell ref="J199:N199"/>
    <mergeCell ref="B203:D203"/>
    <mergeCell ref="J203:L203"/>
    <mergeCell ref="B193:E193"/>
    <mergeCell ref="J193:M193"/>
    <mergeCell ref="B174:D174"/>
    <mergeCell ref="J174:L174"/>
    <mergeCell ref="B176:F176"/>
    <mergeCell ref="J176:N176"/>
    <mergeCell ref="B184:D184"/>
    <mergeCell ref="J184:L184"/>
    <mergeCell ref="B186:D186"/>
    <mergeCell ref="J186:L186"/>
    <mergeCell ref="B188:F188"/>
    <mergeCell ref="J188:N188"/>
    <mergeCell ref="B227:D227"/>
    <mergeCell ref="J227:L227"/>
    <mergeCell ref="B229:E229"/>
    <mergeCell ref="J229:M229"/>
    <mergeCell ref="B221:D221"/>
    <mergeCell ref="J221:L221"/>
    <mergeCell ref="B223:F223"/>
    <mergeCell ref="J223:N223"/>
    <mergeCell ref="B233:D233"/>
    <mergeCell ref="J233:L233"/>
    <mergeCell ref="B266:D266"/>
    <mergeCell ref="J266:L266"/>
    <mergeCell ref="B244:D244"/>
    <mergeCell ref="J244:L244"/>
    <mergeCell ref="B250:D250"/>
    <mergeCell ref="J250:L250"/>
    <mergeCell ref="B252:E252"/>
    <mergeCell ref="J252:M252"/>
    <mergeCell ref="B254:D254"/>
    <mergeCell ref="J254:L254"/>
    <mergeCell ref="J256:L256"/>
    <mergeCell ref="B258:F258"/>
    <mergeCell ref="J258:N258"/>
    <mergeCell ref="B217:E217"/>
    <mergeCell ref="J217:M217"/>
    <mergeCell ref="B219:D219"/>
    <mergeCell ref="J219:L219"/>
    <mergeCell ref="B211:F211"/>
    <mergeCell ref="J211:N211"/>
    <mergeCell ref="B215:D215"/>
    <mergeCell ref="J215:L215"/>
    <mergeCell ref="B207:D207"/>
    <mergeCell ref="B209:D209"/>
    <mergeCell ref="B205:E205"/>
    <mergeCell ref="J205:M205"/>
    <mergeCell ref="B135:E135"/>
    <mergeCell ref="J135:M135"/>
    <mergeCell ref="B156:D156"/>
    <mergeCell ref="J156:L156"/>
    <mergeCell ref="B195:D195"/>
    <mergeCell ref="J195:L195"/>
    <mergeCell ref="B197:D197"/>
    <mergeCell ref="J197:L197"/>
    <mergeCell ref="B158:E158"/>
    <mergeCell ref="J158:M158"/>
    <mergeCell ref="B180:D180"/>
    <mergeCell ref="J180:L180"/>
    <mergeCell ref="B170:E170"/>
    <mergeCell ref="J170:M170"/>
    <mergeCell ref="B164:F164"/>
    <mergeCell ref="J164:N164"/>
    <mergeCell ref="B168:D168"/>
    <mergeCell ref="J168:L168"/>
    <mergeCell ref="B191:D191"/>
    <mergeCell ref="J191:L191"/>
    <mergeCell ref="B182:E182"/>
    <mergeCell ref="J182:M182"/>
    <mergeCell ref="B172:D172"/>
    <mergeCell ref="J172:L172"/>
    <mergeCell ref="B150:D150"/>
    <mergeCell ref="J150:L150"/>
    <mergeCell ref="B152:F152"/>
    <mergeCell ref="J152:N152"/>
    <mergeCell ref="B137:D137"/>
    <mergeCell ref="B139:D139"/>
    <mergeCell ref="B148:D148"/>
    <mergeCell ref="J148:L148"/>
    <mergeCell ref="B146:E146"/>
    <mergeCell ref="J146:M146"/>
    <mergeCell ref="J137:L137"/>
    <mergeCell ref="J139:L139"/>
    <mergeCell ref="B162:D162"/>
    <mergeCell ref="J162:L162"/>
    <mergeCell ref="B160:D160"/>
    <mergeCell ref="J160:L160"/>
    <mergeCell ref="B117:F117"/>
    <mergeCell ref="J117:N117"/>
    <mergeCell ref="B121:D121"/>
    <mergeCell ref="J121:L121"/>
    <mergeCell ref="B141:F141"/>
    <mergeCell ref="J141:N141"/>
    <mergeCell ref="B123:E123"/>
    <mergeCell ref="J123:M123"/>
    <mergeCell ref="B144:D144"/>
    <mergeCell ref="J144:L144"/>
    <mergeCell ref="B129:F129"/>
    <mergeCell ref="J129:N129"/>
    <mergeCell ref="B133:D133"/>
    <mergeCell ref="J133:L133"/>
    <mergeCell ref="B92:D92"/>
    <mergeCell ref="J113:L113"/>
    <mergeCell ref="J115:L115"/>
    <mergeCell ref="J90:L90"/>
    <mergeCell ref="J92:L92"/>
    <mergeCell ref="B94:F94"/>
    <mergeCell ref="J94:N94"/>
    <mergeCell ref="B97:D97"/>
    <mergeCell ref="J97:L97"/>
    <mergeCell ref="B111:E111"/>
    <mergeCell ref="J111:M111"/>
    <mergeCell ref="B101:D101"/>
    <mergeCell ref="J101:L101"/>
    <mergeCell ref="B103:D103"/>
    <mergeCell ref="J103:L103"/>
    <mergeCell ref="B105:F105"/>
    <mergeCell ref="J105:N105"/>
    <mergeCell ref="B109:D109"/>
    <mergeCell ref="J109:L109"/>
    <mergeCell ref="B99:E99"/>
    <mergeCell ref="J99:M99"/>
    <mergeCell ref="B90:D90"/>
    <mergeCell ref="B113:D113"/>
    <mergeCell ref="B115:D115"/>
    <mergeCell ref="J32:L32"/>
    <mergeCell ref="B70:F70"/>
    <mergeCell ref="J70:N70"/>
    <mergeCell ref="B66:D66"/>
    <mergeCell ref="J66:L66"/>
    <mergeCell ref="B242:D242"/>
    <mergeCell ref="J242:L242"/>
    <mergeCell ref="B74:D74"/>
    <mergeCell ref="J74:L74"/>
    <mergeCell ref="B76:E76"/>
    <mergeCell ref="J76:M76"/>
    <mergeCell ref="B86:D86"/>
    <mergeCell ref="J86:L86"/>
    <mergeCell ref="B88:E88"/>
    <mergeCell ref="J88:M88"/>
    <mergeCell ref="B68:D68"/>
    <mergeCell ref="J68:L68"/>
    <mergeCell ref="B82:F82"/>
    <mergeCell ref="J82:N82"/>
    <mergeCell ref="B78:D78"/>
    <mergeCell ref="J78:L78"/>
    <mergeCell ref="B80:D80"/>
    <mergeCell ref="J64:M64"/>
    <mergeCell ref="J80:L80"/>
    <mergeCell ref="B2:D2"/>
    <mergeCell ref="B4:E4"/>
    <mergeCell ref="J2:L2"/>
    <mergeCell ref="J4:M4"/>
    <mergeCell ref="B6:D6"/>
    <mergeCell ref="J6:L6"/>
    <mergeCell ref="B50:D50"/>
    <mergeCell ref="J50:L50"/>
    <mergeCell ref="B52:E52"/>
    <mergeCell ref="J52:M52"/>
    <mergeCell ref="B16:E16"/>
    <mergeCell ref="J16:M16"/>
    <mergeCell ref="B18:D18"/>
    <mergeCell ref="J18:L18"/>
    <mergeCell ref="B20:D20"/>
    <mergeCell ref="J20:L20"/>
    <mergeCell ref="J30:L30"/>
    <mergeCell ref="B26:D26"/>
    <mergeCell ref="J26:L26"/>
    <mergeCell ref="B22:F22"/>
    <mergeCell ref="J22:N22"/>
    <mergeCell ref="B28:E28"/>
    <mergeCell ref="J28:M28"/>
    <mergeCell ref="B14:D14"/>
    <mergeCell ref="J14:L14"/>
    <mergeCell ref="J8:L8"/>
    <mergeCell ref="J10:N10"/>
    <mergeCell ref="B10:F10"/>
    <mergeCell ref="B8:D8"/>
    <mergeCell ref="B30:D30"/>
    <mergeCell ref="B231:D231"/>
    <mergeCell ref="J231:L231"/>
    <mergeCell ref="B125:D125"/>
    <mergeCell ref="J125:L125"/>
    <mergeCell ref="B127:D127"/>
    <mergeCell ref="J127:L127"/>
    <mergeCell ref="B32:D32"/>
    <mergeCell ref="B34:F34"/>
    <mergeCell ref="J34:N34"/>
    <mergeCell ref="B58:F58"/>
    <mergeCell ref="J58:N58"/>
    <mergeCell ref="B62:D62"/>
    <mergeCell ref="J62:L62"/>
    <mergeCell ref="B54:D54"/>
    <mergeCell ref="J54:L54"/>
    <mergeCell ref="B56:D56"/>
    <mergeCell ref="J56:L56"/>
    <mergeCell ref="B64:E64"/>
    <mergeCell ref="B38:D38"/>
    <mergeCell ref="J38:L38"/>
    <mergeCell ref="B46:F46"/>
    <mergeCell ref="J46:N46"/>
    <mergeCell ref="B40:E40"/>
    <mergeCell ref="J40:M40"/>
    <mergeCell ref="J42:L42"/>
    <mergeCell ref="B42:D42"/>
    <mergeCell ref="B44:D44"/>
    <mergeCell ref="J44:L44"/>
  </mergeCells>
  <phoneticPr fontId="47" type="noConversion"/>
  <pageMargins left="0.28000000000000003" right="0.4" top="0.54" bottom="0.5" header="0.28999999999999998" footer="0.5"/>
  <pageSetup scale="87" orientation="portrait" horizontalDpi="300" verticalDpi="300" r:id="rId1"/>
  <headerFooter alignWithMargins="0"/>
  <rowBreaks count="10" manualBreakCount="10">
    <brk id="35" max="16383" man="1"/>
    <brk id="71" max="16383" man="1"/>
    <brk id="106" max="16383" man="1"/>
    <brk id="142" max="16383" man="1"/>
    <brk id="177" max="16383" man="1"/>
    <brk id="212" max="16383" man="1"/>
    <brk id="247" max="16383" man="1"/>
    <brk id="283" max="16383" man="1"/>
    <brk id="318" max="16383" man="1"/>
    <brk id="35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5"/>
  <sheetViews>
    <sheetView view="pageBreakPreview" zoomScale="110" zoomScaleNormal="100" zoomScaleSheetLayoutView="110" workbookViewId="0">
      <selection activeCell="C32" sqref="C32"/>
    </sheetView>
  </sheetViews>
  <sheetFormatPr defaultRowHeight="12.75" x14ac:dyDescent="0.2"/>
  <cols>
    <col min="1" max="1" width="16" style="1" customWidth="1"/>
    <col min="2" max="2" width="5.5703125" style="197" customWidth="1"/>
    <col min="3" max="3" width="3.28515625" customWidth="1"/>
    <col min="4" max="4" width="20" customWidth="1"/>
    <col min="5" max="5" width="3.28515625" customWidth="1"/>
    <col min="6" max="6" width="20" customWidth="1"/>
    <col min="7" max="7" width="2.140625" customWidth="1"/>
    <col min="8" max="8" width="1" customWidth="1"/>
    <col min="9" max="9" width="2.140625" customWidth="1"/>
    <col min="10" max="10" width="1.42578125" customWidth="1"/>
    <col min="11" max="11" width="7.140625" customWidth="1"/>
    <col min="12" max="12" width="15" style="1" customWidth="1"/>
    <col min="13" max="13" width="3.28515625" style="1" customWidth="1"/>
    <col min="14" max="14" width="16.140625" style="1" customWidth="1"/>
    <col min="15" max="15" width="2.28515625" style="1" customWidth="1"/>
    <col min="16" max="16" width="1.5703125" style="1" customWidth="1"/>
    <col min="17" max="17" width="2.28515625" style="1" customWidth="1"/>
    <col min="18" max="18" width="1.28515625" style="1" customWidth="1"/>
    <col min="19" max="28" width="2.7109375" style="1" customWidth="1"/>
    <col min="29" max="33" width="2.7109375" style="1" hidden="1" customWidth="1"/>
    <col min="34" max="35" width="2.7109375" style="1" customWidth="1"/>
    <col min="36" max="42" width="2.7109375" customWidth="1"/>
  </cols>
  <sheetData>
    <row r="1" spans="1:35" x14ac:dyDescent="0.2">
      <c r="A1" s="202"/>
      <c r="B1" s="277"/>
      <c r="C1" s="203"/>
      <c r="D1" s="203"/>
      <c r="E1" s="203"/>
      <c r="F1" s="203"/>
      <c r="G1" s="203"/>
      <c r="H1" s="203"/>
      <c r="I1" s="203"/>
      <c r="J1" s="203"/>
      <c r="K1" s="203"/>
    </row>
    <row r="2" spans="1:35" s="172" customFormat="1" ht="33.75" customHeight="1" x14ac:dyDescent="0.2">
      <c r="A2" s="321"/>
      <c r="B2" s="512" t="s">
        <v>84</v>
      </c>
      <c r="C2" s="512"/>
      <c r="D2" s="512"/>
      <c r="E2" s="512"/>
      <c r="F2" s="512"/>
      <c r="G2" s="512"/>
      <c r="H2" s="512"/>
      <c r="I2" s="512"/>
      <c r="J2" s="512"/>
      <c r="K2" s="321"/>
      <c r="L2" s="189"/>
      <c r="M2" s="189"/>
      <c r="N2" s="189"/>
      <c r="O2" s="189"/>
      <c r="P2" s="189"/>
      <c r="Q2" s="189"/>
      <c r="R2" s="174"/>
    </row>
    <row r="3" spans="1:35" ht="18.75" customHeight="1" thickBot="1" x14ac:dyDescent="0.25">
      <c r="A3" s="276"/>
      <c r="B3" s="277"/>
      <c r="C3" s="278"/>
      <c r="D3" s="278"/>
      <c r="E3" s="278"/>
      <c r="F3" s="278"/>
      <c r="G3" s="278"/>
      <c r="H3" s="278"/>
      <c r="I3" s="278"/>
      <c r="J3" s="279"/>
      <c r="K3" s="253"/>
      <c r="L3" s="221"/>
      <c r="M3" s="221"/>
      <c r="N3" s="221"/>
      <c r="O3" s="221"/>
      <c r="P3" s="221"/>
      <c r="Q3" s="221"/>
    </row>
    <row r="4" spans="1:35" ht="25.5" customHeight="1" thickBot="1" x14ac:dyDescent="0.25">
      <c r="B4" s="509" t="s">
        <v>408</v>
      </c>
      <c r="C4" s="510"/>
      <c r="D4" s="510"/>
      <c r="E4" s="510"/>
      <c r="F4" s="510"/>
      <c r="G4" s="510"/>
      <c r="H4" s="510"/>
      <c r="I4" s="510"/>
      <c r="J4" s="511"/>
      <c r="K4" s="118"/>
    </row>
    <row r="5" spans="1:35" ht="12" customHeight="1" x14ac:dyDescent="0.2">
      <c r="B5" s="204"/>
      <c r="C5" s="220"/>
      <c r="D5" s="221"/>
      <c r="E5" s="221"/>
      <c r="F5" s="221"/>
      <c r="G5" s="221"/>
      <c r="H5" s="221"/>
      <c r="I5" s="221"/>
      <c r="J5" s="118"/>
      <c r="K5" s="118"/>
    </row>
    <row r="6" spans="1:35" s="192" customFormat="1" ht="16.5" customHeight="1" x14ac:dyDescent="0.3">
      <c r="A6" s="225"/>
      <c r="B6" s="413" t="s">
        <v>405</v>
      </c>
      <c r="C6" s="225"/>
      <c r="D6" s="224"/>
      <c r="E6" s="226"/>
      <c r="F6" s="227"/>
      <c r="G6" s="228"/>
      <c r="H6" s="226"/>
      <c r="I6" s="224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</row>
    <row r="7" spans="1:35" ht="9" customHeight="1" x14ac:dyDescent="0.2">
      <c r="B7" s="339" t="s">
        <v>85</v>
      </c>
      <c r="C7" s="336" t="s">
        <v>14</v>
      </c>
      <c r="D7" s="339" t="s">
        <v>86</v>
      </c>
      <c r="E7" s="124"/>
      <c r="F7" s="124"/>
      <c r="G7" s="339" t="s">
        <v>15</v>
      </c>
      <c r="H7" s="124"/>
      <c r="I7" s="124"/>
      <c r="J7" s="222"/>
      <c r="K7" s="36"/>
    </row>
    <row r="8" spans="1:35" s="179" customFormat="1" ht="15" customHeight="1" x14ac:dyDescent="0.2">
      <c r="A8" s="215"/>
      <c r="B8" s="257">
        <v>0.69791666666666663</v>
      </c>
      <c r="C8" s="212">
        <v>1</v>
      </c>
      <c r="D8" s="179" t="s">
        <v>412</v>
      </c>
      <c r="E8" s="179" t="s">
        <v>16</v>
      </c>
      <c r="F8" s="179" t="s">
        <v>409</v>
      </c>
      <c r="G8" s="317" t="s">
        <v>87</v>
      </c>
      <c r="H8" s="317" t="s">
        <v>16</v>
      </c>
      <c r="I8" s="317" t="s">
        <v>87</v>
      </c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</row>
    <row r="9" spans="1:35" s="179" customFormat="1" ht="15" customHeight="1" x14ac:dyDescent="0.2">
      <c r="A9" s="215"/>
      <c r="B9" s="257">
        <f>B8</f>
        <v>0.69791666666666663</v>
      </c>
      <c r="C9" s="212">
        <v>2</v>
      </c>
      <c r="D9" s="214" t="s">
        <v>410</v>
      </c>
      <c r="E9" s="212"/>
      <c r="F9" s="214" t="s">
        <v>411</v>
      </c>
      <c r="G9" s="317" t="s">
        <v>87</v>
      </c>
      <c r="H9" s="317" t="s">
        <v>16</v>
      </c>
      <c r="I9" s="317" t="s">
        <v>87</v>
      </c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</row>
    <row r="10" spans="1:35" s="179" customFormat="1" ht="15" customHeight="1" x14ac:dyDescent="0.2">
      <c r="A10" s="215"/>
      <c r="B10" s="257"/>
      <c r="C10" s="212"/>
      <c r="D10" s="214"/>
      <c r="E10" s="212"/>
      <c r="F10" s="214"/>
      <c r="G10" s="317"/>
      <c r="H10" s="317"/>
      <c r="I10" s="317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</row>
    <row r="11" spans="1:35" s="179" customFormat="1" ht="15" customHeight="1" x14ac:dyDescent="0.3">
      <c r="A11" s="215"/>
      <c r="B11" s="413" t="s">
        <v>406</v>
      </c>
      <c r="C11" s="225"/>
      <c r="D11" s="224"/>
      <c r="E11" s="212"/>
      <c r="F11" s="214"/>
      <c r="G11" s="317"/>
      <c r="H11" s="317"/>
      <c r="I11" s="317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</row>
    <row r="12" spans="1:35" s="179" customFormat="1" ht="15" customHeight="1" x14ac:dyDescent="0.2">
      <c r="A12" s="215"/>
      <c r="B12" s="256">
        <v>0.72569444444444453</v>
      </c>
      <c r="C12" s="212">
        <v>1</v>
      </c>
      <c r="D12" s="214" t="s">
        <v>414</v>
      </c>
      <c r="E12" s="214"/>
      <c r="F12" s="214" t="s">
        <v>413</v>
      </c>
      <c r="G12" s="317" t="s">
        <v>87</v>
      </c>
      <c r="H12" s="317" t="s">
        <v>16</v>
      </c>
      <c r="I12" s="317" t="s">
        <v>87</v>
      </c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</row>
    <row r="13" spans="1:35" s="179" customFormat="1" ht="15" customHeight="1" x14ac:dyDescent="0.3">
      <c r="A13" s="215"/>
      <c r="B13" s="193"/>
      <c r="C13" s="212"/>
      <c r="D13" s="214"/>
      <c r="E13" s="214"/>
      <c r="F13" s="214"/>
      <c r="G13" s="317"/>
      <c r="H13" s="317"/>
      <c r="I13" s="317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</row>
    <row r="14" spans="1:35" s="179" customFormat="1" ht="15" customHeight="1" x14ac:dyDescent="0.3">
      <c r="A14" s="215"/>
      <c r="B14" s="413" t="s">
        <v>407</v>
      </c>
      <c r="C14" s="225"/>
      <c r="D14" s="224"/>
      <c r="E14" s="212"/>
      <c r="F14" s="214"/>
      <c r="G14" s="317"/>
      <c r="H14" s="317"/>
      <c r="I14" s="317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</row>
    <row r="15" spans="1:35" s="179" customFormat="1" ht="15" customHeight="1" x14ac:dyDescent="0.2">
      <c r="A15" s="215"/>
      <c r="B15" s="257">
        <v>0.71180555555555547</v>
      </c>
      <c r="C15" s="212">
        <v>1</v>
      </c>
      <c r="D15" s="214" t="s">
        <v>415</v>
      </c>
      <c r="E15" s="214" t="s">
        <v>16</v>
      </c>
      <c r="F15" s="214" t="s">
        <v>417</v>
      </c>
      <c r="G15" s="317" t="s">
        <v>87</v>
      </c>
      <c r="H15" s="317" t="s">
        <v>16</v>
      </c>
      <c r="I15" s="317" t="s">
        <v>87</v>
      </c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</row>
    <row r="16" spans="1:35" s="179" customFormat="1" ht="15" customHeight="1" x14ac:dyDescent="0.2">
      <c r="A16" s="215"/>
      <c r="B16" s="257">
        <v>0.71180555555555547</v>
      </c>
      <c r="C16" s="212">
        <v>2</v>
      </c>
      <c r="D16" s="214" t="s">
        <v>416</v>
      </c>
      <c r="E16" s="214" t="s">
        <v>16</v>
      </c>
      <c r="F16" s="214" t="s">
        <v>418</v>
      </c>
      <c r="G16" s="317" t="s">
        <v>87</v>
      </c>
      <c r="H16" s="317" t="s">
        <v>16</v>
      </c>
      <c r="I16" s="317" t="s">
        <v>87</v>
      </c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</row>
    <row r="17" spans="1:35" s="179" customFormat="1" ht="15" customHeight="1" x14ac:dyDescent="0.2">
      <c r="A17" s="215"/>
      <c r="B17" s="257"/>
      <c r="C17" s="212"/>
      <c r="D17" s="214"/>
      <c r="E17" s="212"/>
      <c r="F17" s="214"/>
      <c r="G17" s="317"/>
      <c r="H17" s="317"/>
      <c r="I17" s="317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</row>
    <row r="18" spans="1:35" s="179" customFormat="1" ht="15" customHeight="1" x14ac:dyDescent="0.2">
      <c r="A18" s="215"/>
      <c r="B18" s="413" t="s">
        <v>94</v>
      </c>
      <c r="C18" s="212"/>
      <c r="D18" s="214"/>
      <c r="E18" s="212"/>
      <c r="F18" s="214"/>
      <c r="G18" s="317"/>
      <c r="H18" s="317"/>
      <c r="I18" s="317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</row>
    <row r="19" spans="1:35" s="179" customFormat="1" ht="15" customHeight="1" x14ac:dyDescent="0.2">
      <c r="A19" s="215"/>
      <c r="B19" s="257">
        <v>0.73958333333333337</v>
      </c>
      <c r="C19" s="212">
        <v>1</v>
      </c>
      <c r="D19" s="214" t="s">
        <v>419</v>
      </c>
      <c r="E19" s="212" t="s">
        <v>16</v>
      </c>
      <c r="F19" s="214" t="s">
        <v>420</v>
      </c>
      <c r="G19" s="317" t="s">
        <v>87</v>
      </c>
      <c r="H19" s="317" t="s">
        <v>16</v>
      </c>
      <c r="I19" s="317" t="s">
        <v>87</v>
      </c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</row>
    <row r="20" spans="1:35" s="179" customFormat="1" ht="12.75" customHeight="1" x14ac:dyDescent="0.2">
      <c r="A20" s="215"/>
      <c r="B20" s="223"/>
      <c r="C20" s="212"/>
      <c r="D20" s="214"/>
      <c r="E20" s="212"/>
      <c r="F20" s="214"/>
      <c r="G20" s="213"/>
      <c r="H20" s="213"/>
      <c r="I20" s="213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</row>
    <row r="21" spans="1:35" s="179" customFormat="1" ht="12.75" customHeight="1" thickBot="1" x14ac:dyDescent="0.25">
      <c r="A21" s="215"/>
      <c r="B21" s="223"/>
      <c r="C21" s="212"/>
      <c r="D21" s="214"/>
      <c r="E21" s="212"/>
      <c r="F21" s="214"/>
      <c r="G21" s="213"/>
      <c r="H21" s="213"/>
      <c r="I21" s="213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</row>
    <row r="22" spans="1:35" ht="25.5" customHeight="1" thickBot="1" x14ac:dyDescent="0.25">
      <c r="B22" s="509" t="s">
        <v>88</v>
      </c>
      <c r="C22" s="510"/>
      <c r="D22" s="510"/>
      <c r="E22" s="510"/>
      <c r="F22" s="510"/>
      <c r="G22" s="510"/>
      <c r="H22" s="510"/>
      <c r="I22" s="510"/>
      <c r="J22" s="511"/>
      <c r="K22" s="118"/>
    </row>
    <row r="23" spans="1:35" ht="12" customHeight="1" x14ac:dyDescent="0.2">
      <c r="B23" s="204"/>
      <c r="C23" s="220"/>
      <c r="D23" s="221"/>
      <c r="E23" s="221"/>
      <c r="F23" s="221"/>
      <c r="G23" s="221"/>
      <c r="H23" s="221"/>
      <c r="I23" s="221"/>
      <c r="J23" s="118"/>
      <c r="K23" s="118"/>
    </row>
    <row r="24" spans="1:35" s="192" customFormat="1" ht="16.5" customHeight="1" x14ac:dyDescent="0.3">
      <c r="A24" s="225"/>
      <c r="B24" s="224" t="s">
        <v>89</v>
      </c>
      <c r="C24" s="225"/>
      <c r="D24" s="224"/>
      <c r="E24" s="226"/>
      <c r="F24" s="227"/>
      <c r="G24" s="228"/>
      <c r="H24" s="226"/>
      <c r="I24" s="224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25"/>
    </row>
    <row r="25" spans="1:35" ht="9" customHeight="1" x14ac:dyDescent="0.2">
      <c r="B25" s="339" t="s">
        <v>85</v>
      </c>
      <c r="C25" s="336" t="s">
        <v>14</v>
      </c>
      <c r="D25" s="339" t="s">
        <v>86</v>
      </c>
      <c r="E25" s="124"/>
      <c r="F25" s="124"/>
      <c r="G25" s="339" t="s">
        <v>15</v>
      </c>
      <c r="H25" s="124"/>
      <c r="I25" s="124"/>
      <c r="J25" s="222"/>
      <c r="K25" s="36"/>
    </row>
    <row r="26" spans="1:35" s="179" customFormat="1" ht="15" customHeight="1" x14ac:dyDescent="0.2">
      <c r="A26" s="215"/>
      <c r="B26" s="256">
        <v>0.69791666666666663</v>
      </c>
      <c r="C26" s="212">
        <v>3</v>
      </c>
      <c r="D26" s="214" t="e">
        <f>IF('POULES (WINNAARS)'!G5=3,'POULES (WINNAARS)'!C5,"Nr.1 Poule K")</f>
        <v>#REF!</v>
      </c>
      <c r="E26" s="212" t="s">
        <v>16</v>
      </c>
      <c r="F26" s="214" t="e">
        <f>IF('POULES (WINNAARS)'!X5=3,'POULES (WINNAARS)'!T5,"Nr.1 Poule L")</f>
        <v>#REF!</v>
      </c>
      <c r="G26" s="317" t="s">
        <v>17</v>
      </c>
      <c r="H26" s="317" t="s">
        <v>16</v>
      </c>
      <c r="I26" s="317" t="s">
        <v>17</v>
      </c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</row>
    <row r="27" spans="1:35" s="179" customFormat="1" ht="15" customHeight="1" x14ac:dyDescent="0.2">
      <c r="A27" s="215"/>
      <c r="B27" s="256">
        <f>B26</f>
        <v>0.69791666666666663</v>
      </c>
      <c r="C27" s="212">
        <v>4</v>
      </c>
      <c r="D27" s="214" t="e">
        <f>IF('POULES (WINNAARS)'!G20=3,'POULES (WINNAARS)'!C20,"Nr.1 Poule M")</f>
        <v>#REF!</v>
      </c>
      <c r="E27" s="212" t="s">
        <v>16</v>
      </c>
      <c r="F27" s="214" t="s">
        <v>90</v>
      </c>
      <c r="G27" s="317" t="s">
        <v>17</v>
      </c>
      <c r="H27" s="317" t="s">
        <v>16</v>
      </c>
      <c r="I27" s="317" t="s">
        <v>91</v>
      </c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</row>
    <row r="28" spans="1:35" s="179" customFormat="1" ht="15" customHeight="1" x14ac:dyDescent="0.2">
      <c r="A28" s="215"/>
      <c r="B28" s="256">
        <f>B26</f>
        <v>0.69791666666666663</v>
      </c>
      <c r="C28" s="212">
        <v>5</v>
      </c>
      <c r="D28" s="214" t="e">
        <f>IF('POULES (WINNAARS)'!X20=3,'POULES (WINNAARS)'!T20,"Nr.1 Poule N")</f>
        <v>#REF!</v>
      </c>
      <c r="E28" s="212" t="s">
        <v>16</v>
      </c>
      <c r="F28" s="214" t="e">
        <f>IF('POULES (WINNAARS)'!G36=3,'POULES (WINNAARS)'!C36,"Nr.1 Poule O")</f>
        <v>#REF!</v>
      </c>
      <c r="G28" s="317" t="s">
        <v>17</v>
      </c>
      <c r="H28" s="317" t="s">
        <v>16</v>
      </c>
      <c r="I28" s="317" t="s">
        <v>17</v>
      </c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</row>
    <row r="29" spans="1:35" s="179" customFormat="1" ht="15" customHeight="1" x14ac:dyDescent="0.2">
      <c r="A29" s="215"/>
      <c r="B29" s="256">
        <f>B26</f>
        <v>0.69791666666666663</v>
      </c>
      <c r="C29" s="212">
        <v>6</v>
      </c>
      <c r="D29" s="214" t="e">
        <f>IF('POULES (WINNAARS)'!X36=3,'POULES (WINNAARS)'!T36,"Nr.1 Poule P")</f>
        <v>#REF!</v>
      </c>
      <c r="E29" s="212" t="s">
        <v>16</v>
      </c>
      <c r="F29" s="214" t="s">
        <v>92</v>
      </c>
      <c r="G29" s="317" t="s">
        <v>17</v>
      </c>
      <c r="H29" s="317" t="s">
        <v>16</v>
      </c>
      <c r="I29" s="317" t="s">
        <v>17</v>
      </c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</row>
    <row r="30" spans="1:35" ht="15" customHeight="1" x14ac:dyDescent="0.2">
      <c r="B30" s="204"/>
      <c r="C30" s="220"/>
      <c r="D30" s="221"/>
      <c r="E30" s="221"/>
      <c r="F30" s="221"/>
      <c r="G30" s="221"/>
      <c r="H30" s="221"/>
      <c r="I30" s="221"/>
      <c r="J30" s="1"/>
      <c r="K30" s="8"/>
      <c r="L30" s="212"/>
    </row>
    <row r="31" spans="1:35" ht="18.75" x14ac:dyDescent="0.3">
      <c r="B31" s="193" t="s">
        <v>93</v>
      </c>
      <c r="D31" s="193"/>
      <c r="E31" s="196"/>
      <c r="F31" s="194"/>
      <c r="G31" s="318"/>
      <c r="H31" s="319"/>
      <c r="I31" s="320"/>
      <c r="K31" s="3"/>
    </row>
    <row r="32" spans="1:35" s="179" customFormat="1" ht="15" customHeight="1" x14ac:dyDescent="0.2">
      <c r="A32" s="215"/>
      <c r="B32" s="257">
        <v>0.72569444444444453</v>
      </c>
      <c r="C32" s="175">
        <v>4</v>
      </c>
      <c r="D32" s="198" t="str">
        <f>IF(G26="…","Winnaar A - B",IF(G26&gt;I26,D26,F26))</f>
        <v>Winnaar A - B</v>
      </c>
      <c r="E32" s="175" t="s">
        <v>16</v>
      </c>
      <c r="F32" s="198" t="str">
        <f>IF(G27="…","Winnaar C - Beste nr.2",IF(G27&gt;I27,D27,F27))</f>
        <v>Winnaar C - Beste nr.2</v>
      </c>
      <c r="G32" s="177" t="s">
        <v>17</v>
      </c>
      <c r="H32" s="177" t="s">
        <v>16</v>
      </c>
      <c r="I32" s="177" t="s">
        <v>17</v>
      </c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</row>
    <row r="33" spans="1:35" s="179" customFormat="1" ht="15" customHeight="1" x14ac:dyDescent="0.2">
      <c r="A33" s="215"/>
      <c r="B33" s="257">
        <f>B32</f>
        <v>0.72569444444444453</v>
      </c>
      <c r="C33" s="175">
        <v>5</v>
      </c>
      <c r="D33" s="188" t="str">
        <f>IF(G28="…","Winnaar D - E",IF(G28&gt;I28,D28,F28))</f>
        <v>Winnaar D - E</v>
      </c>
      <c r="E33" s="175" t="s">
        <v>16</v>
      </c>
      <c r="F33" s="198" t="str">
        <f>IF(G29="…","Winnaar F - Een-na-beste nr.2",IF(G29&gt;I29,D29,F29))</f>
        <v>Winnaar F - Een-na-beste nr.2</v>
      </c>
      <c r="G33" s="177" t="s">
        <v>17</v>
      </c>
      <c r="H33" s="177" t="s">
        <v>16</v>
      </c>
      <c r="I33" s="177" t="s">
        <v>17</v>
      </c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</row>
    <row r="34" spans="1:35" ht="12.75" customHeight="1" x14ac:dyDescent="0.2">
      <c r="B34" s="258"/>
      <c r="C34" s="191"/>
      <c r="D34" s="190"/>
      <c r="E34" s="190"/>
      <c r="F34" s="190"/>
      <c r="G34" s="190"/>
      <c r="H34" s="190"/>
      <c r="I34" s="190"/>
    </row>
    <row r="35" spans="1:35" ht="18.75" x14ac:dyDescent="0.3">
      <c r="B35" s="193" t="s">
        <v>94</v>
      </c>
      <c r="D35" s="193"/>
      <c r="E35" s="196"/>
      <c r="F35" s="194"/>
      <c r="G35" s="318"/>
      <c r="H35" s="319"/>
      <c r="I35" s="320"/>
    </row>
    <row r="36" spans="1:35" s="179" customFormat="1" ht="15" customHeight="1" x14ac:dyDescent="0.2">
      <c r="A36" s="215"/>
      <c r="B36" s="257">
        <v>0.75347222222222221</v>
      </c>
      <c r="C36" s="175">
        <v>1</v>
      </c>
      <c r="D36" s="198" t="str">
        <f>IF(G32="…","Winnaar Halve Finale 1",IF(G32&gt;I32,D32,F32))</f>
        <v>Winnaar Halve Finale 1</v>
      </c>
      <c r="E36" s="175" t="s">
        <v>16</v>
      </c>
      <c r="F36" s="198" t="str">
        <f>IF(G33="…","Winnaar Halve Finale 2",IF(G33&gt;I33,D33,F33))</f>
        <v>Winnaar Halve Finale 2</v>
      </c>
      <c r="G36" s="177" t="s">
        <v>87</v>
      </c>
      <c r="H36" s="177" t="s">
        <v>16</v>
      </c>
      <c r="I36" s="177" t="s">
        <v>87</v>
      </c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</row>
    <row r="38" spans="1:35" ht="13.5" thickBot="1" x14ac:dyDescent="0.25"/>
    <row r="39" spans="1:35" ht="25.5" customHeight="1" thickBot="1" x14ac:dyDescent="0.25">
      <c r="B39" s="509" t="s">
        <v>95</v>
      </c>
      <c r="C39" s="510"/>
      <c r="D39" s="510"/>
      <c r="E39" s="510"/>
      <c r="F39" s="510"/>
      <c r="G39" s="510"/>
      <c r="H39" s="510"/>
      <c r="I39" s="510"/>
      <c r="J39" s="511"/>
      <c r="K39" s="15"/>
    </row>
    <row r="40" spans="1:35" ht="12.75" customHeight="1" x14ac:dyDescent="0.2">
      <c r="C40" s="191"/>
      <c r="D40" s="190"/>
      <c r="E40" s="190"/>
      <c r="F40" s="190"/>
      <c r="G40" s="190"/>
      <c r="H40" s="190"/>
      <c r="I40" s="190"/>
    </row>
    <row r="41" spans="1:35" ht="18.75" x14ac:dyDescent="0.3">
      <c r="B41" s="193" t="s">
        <v>93</v>
      </c>
      <c r="D41" s="193"/>
      <c r="E41" s="196"/>
      <c r="F41" s="194"/>
      <c r="G41" s="195"/>
      <c r="H41" s="196"/>
      <c r="I41" s="193"/>
    </row>
    <row r="42" spans="1:35" ht="9" customHeight="1" x14ac:dyDescent="0.2">
      <c r="B42" s="339" t="s">
        <v>85</v>
      </c>
      <c r="C42" s="336" t="s">
        <v>14</v>
      </c>
      <c r="D42" s="339" t="s">
        <v>86</v>
      </c>
      <c r="E42" s="124"/>
      <c r="F42" s="124"/>
      <c r="G42" s="339" t="s">
        <v>15</v>
      </c>
      <c r="H42" s="124"/>
      <c r="I42" s="124"/>
      <c r="J42" s="162"/>
      <c r="K42" s="36"/>
    </row>
    <row r="43" spans="1:35" s="179" customFormat="1" ht="15" customHeight="1" x14ac:dyDescent="0.2">
      <c r="A43" s="215"/>
      <c r="B43" s="257">
        <v>0.71180555555555547</v>
      </c>
      <c r="C43" s="175">
        <v>3</v>
      </c>
      <c r="D43" s="188" t="e">
        <f>IF('POULES (WINNAARS)'!O36=3,'POULES (WINNAARS)'!K36,"Winnaar Poule W")</f>
        <v>#REF!</v>
      </c>
      <c r="E43" s="175" t="s">
        <v>16</v>
      </c>
      <c r="F43" s="188" t="e">
        <f>IF('POULES (WINNAARS)'!AF36=3,'POULES (WINNAARS)'!AB36,"Winnaar Poule X")</f>
        <v>#REF!</v>
      </c>
      <c r="G43" s="177" t="s">
        <v>17</v>
      </c>
      <c r="H43" s="177" t="s">
        <v>16</v>
      </c>
      <c r="I43" s="177" t="s">
        <v>17</v>
      </c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</row>
    <row r="44" spans="1:35" s="179" customFormat="1" ht="15" customHeight="1" x14ac:dyDescent="0.2">
      <c r="A44" s="215"/>
      <c r="B44" s="257">
        <f>B43</f>
        <v>0.71180555555555547</v>
      </c>
      <c r="C44" s="175">
        <v>4</v>
      </c>
      <c r="D44" s="188" t="str">
        <f>IF('POULES (WINNAARS)'!O51=3,'POULES (WINNAARS)'!K51,"Winnaar Poule Y")</f>
        <v>Winnaar Poule Y</v>
      </c>
      <c r="E44" s="175" t="s">
        <v>16</v>
      </c>
      <c r="F44" s="188" t="str">
        <f>IF('POULES (WINNAARS)'!AF51=3,'POULES (WINNAARS)'!AB51,"Winnaar Poule Z")</f>
        <v>Winnaar Poule Z</v>
      </c>
      <c r="G44" s="177" t="s">
        <v>17</v>
      </c>
      <c r="H44" s="177" t="s">
        <v>16</v>
      </c>
      <c r="I44" s="177" t="s">
        <v>17</v>
      </c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</row>
    <row r="45" spans="1:35" x14ac:dyDescent="0.2">
      <c r="B45" s="258"/>
      <c r="C45" s="179"/>
      <c r="D45" s="179"/>
      <c r="E45" s="179"/>
      <c r="F45" s="179"/>
      <c r="G45" s="179"/>
      <c r="H45" s="179"/>
      <c r="I45" s="179"/>
    </row>
    <row r="46" spans="1:35" ht="18.75" x14ac:dyDescent="0.3">
      <c r="B46" s="224" t="s">
        <v>94</v>
      </c>
      <c r="C46" s="1"/>
      <c r="D46" s="215"/>
      <c r="E46" s="215"/>
      <c r="F46" s="215"/>
      <c r="G46" s="215"/>
      <c r="H46" s="215"/>
      <c r="I46" s="215"/>
      <c r="J46" s="1"/>
      <c r="K46" s="1"/>
    </row>
    <row r="47" spans="1:35" s="179" customFormat="1" ht="15" customHeight="1" x14ac:dyDescent="0.2">
      <c r="A47" s="215"/>
      <c r="B47" s="257">
        <v>0.72569444444444453</v>
      </c>
      <c r="C47" s="212">
        <v>3</v>
      </c>
      <c r="D47" s="214" t="str">
        <f>IF(G43="…","Winnaar W - X",+IF(G43&gt;I43,D43,F43))</f>
        <v>Winnaar W - X</v>
      </c>
      <c r="E47" s="212" t="s">
        <v>16</v>
      </c>
      <c r="F47" s="244" t="str">
        <f>IF(G44="…","Winnaar Ronde Y - Z",IF(G44&gt;I44,D44,F44))</f>
        <v>Winnaar Ronde Y - Z</v>
      </c>
      <c r="G47" s="317" t="s">
        <v>87</v>
      </c>
      <c r="H47" s="317" t="s">
        <v>16</v>
      </c>
      <c r="I47" s="317" t="s">
        <v>87</v>
      </c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</row>
    <row r="48" spans="1:35" x14ac:dyDescent="0.2">
      <c r="B48" s="204"/>
      <c r="C48" s="1"/>
      <c r="D48" s="1"/>
      <c r="E48" s="1"/>
      <c r="F48" s="1"/>
      <c r="G48" s="1"/>
      <c r="H48" s="1"/>
      <c r="I48" s="1"/>
      <c r="J48" s="1"/>
      <c r="K48" s="1"/>
    </row>
    <row r="49" spans="2:11" x14ac:dyDescent="0.2">
      <c r="B49" s="204"/>
      <c r="C49" s="1"/>
      <c r="D49" s="1"/>
      <c r="E49" s="1"/>
      <c r="F49" s="1"/>
      <c r="G49" s="1"/>
      <c r="H49" s="1"/>
      <c r="I49" s="1"/>
      <c r="J49" s="1"/>
      <c r="K49" s="1"/>
    </row>
    <row r="50" spans="2:11" x14ac:dyDescent="0.2">
      <c r="B50" s="204"/>
      <c r="C50" s="1"/>
      <c r="D50" s="1"/>
      <c r="E50" s="1"/>
      <c r="F50" s="1"/>
      <c r="G50" s="1"/>
      <c r="H50" s="1"/>
      <c r="I50" s="1"/>
      <c r="J50" s="1"/>
      <c r="K50" s="1"/>
    </row>
    <row r="51" spans="2:11" x14ac:dyDescent="0.2">
      <c r="B51" s="204"/>
      <c r="C51" s="1"/>
      <c r="D51" s="1"/>
      <c r="E51" s="1"/>
      <c r="F51" s="1"/>
      <c r="G51" s="1"/>
      <c r="H51" s="1"/>
      <c r="I51" s="1"/>
      <c r="J51" s="1"/>
      <c r="K51" s="1"/>
    </row>
    <row r="52" spans="2:11" x14ac:dyDescent="0.2">
      <c r="B52" s="204"/>
      <c r="C52" s="1"/>
      <c r="D52" s="1"/>
      <c r="E52" s="1"/>
      <c r="F52" s="1"/>
      <c r="G52" s="1"/>
      <c r="H52" s="1"/>
      <c r="I52" s="1"/>
      <c r="J52" s="1"/>
      <c r="K52" s="1"/>
    </row>
    <row r="53" spans="2:11" x14ac:dyDescent="0.2">
      <c r="B53" s="204"/>
      <c r="C53" s="1"/>
      <c r="D53" s="1"/>
      <c r="E53" s="1"/>
      <c r="F53" s="1"/>
      <c r="G53" s="1"/>
      <c r="H53" s="1"/>
      <c r="I53" s="1"/>
      <c r="J53" s="1"/>
      <c r="K53" s="1"/>
    </row>
    <row r="54" spans="2:11" x14ac:dyDescent="0.2">
      <c r="B54" s="204"/>
      <c r="C54" s="1"/>
      <c r="D54" s="1"/>
      <c r="E54" s="1"/>
      <c r="F54" s="1"/>
      <c r="G54" s="1"/>
      <c r="H54" s="1"/>
      <c r="I54" s="1"/>
      <c r="J54" s="1"/>
      <c r="K54" s="1"/>
    </row>
    <row r="55" spans="2:11" x14ac:dyDescent="0.2">
      <c r="B55" s="204"/>
      <c r="C55" s="1"/>
      <c r="D55" s="1"/>
      <c r="E55" s="1"/>
      <c r="F55" s="1"/>
      <c r="G55" s="1"/>
      <c r="H55" s="1"/>
      <c r="I55" s="1"/>
      <c r="J55" s="1"/>
      <c r="K55" s="1"/>
    </row>
    <row r="56" spans="2:11" x14ac:dyDescent="0.2">
      <c r="B56" s="204"/>
      <c r="C56" s="1"/>
      <c r="D56" s="1"/>
      <c r="E56" s="1"/>
      <c r="F56" s="1"/>
      <c r="G56" s="1"/>
      <c r="H56" s="1"/>
      <c r="I56" s="1"/>
      <c r="J56" s="1"/>
      <c r="K56" s="1"/>
    </row>
    <row r="57" spans="2:11" x14ac:dyDescent="0.2">
      <c r="B57" s="204"/>
      <c r="C57" s="1"/>
      <c r="D57" s="1"/>
      <c r="E57" s="1"/>
      <c r="F57" s="1"/>
      <c r="G57" s="1"/>
      <c r="H57" s="1"/>
      <c r="I57" s="1"/>
      <c r="J57" s="1"/>
      <c r="K57" s="1"/>
    </row>
    <row r="58" spans="2:11" x14ac:dyDescent="0.2">
      <c r="B58" s="204"/>
      <c r="C58" s="1"/>
      <c r="D58" s="1"/>
      <c r="E58" s="1"/>
      <c r="F58" s="1"/>
      <c r="G58" s="1"/>
      <c r="H58" s="1"/>
      <c r="I58" s="1"/>
      <c r="J58" s="1"/>
      <c r="K58" s="1"/>
    </row>
    <row r="59" spans="2:11" x14ac:dyDescent="0.2">
      <c r="B59" s="204"/>
      <c r="C59" s="1"/>
      <c r="D59" s="1"/>
      <c r="E59" s="1"/>
      <c r="F59" s="1"/>
      <c r="G59" s="1"/>
      <c r="H59" s="1"/>
      <c r="I59" s="1"/>
      <c r="J59" s="1"/>
      <c r="K59" s="1"/>
    </row>
    <row r="60" spans="2:11" x14ac:dyDescent="0.2">
      <c r="B60" s="204"/>
      <c r="C60" s="1"/>
      <c r="D60" s="1"/>
      <c r="E60" s="1"/>
      <c r="F60" s="1"/>
      <c r="G60" s="1"/>
      <c r="H60" s="1"/>
      <c r="I60" s="1"/>
      <c r="J60" s="1"/>
      <c r="K60" s="1"/>
    </row>
    <row r="61" spans="2:11" x14ac:dyDescent="0.2">
      <c r="B61" s="204"/>
      <c r="C61" s="1"/>
      <c r="D61" s="1"/>
      <c r="E61" s="1"/>
      <c r="F61" s="1"/>
      <c r="G61" s="1"/>
      <c r="H61" s="1"/>
      <c r="I61" s="1"/>
      <c r="J61" s="1"/>
      <c r="K61" s="1"/>
    </row>
    <row r="62" spans="2:11" x14ac:dyDescent="0.2">
      <c r="B62" s="204"/>
      <c r="C62" s="1"/>
      <c r="D62" s="1"/>
      <c r="E62" s="1"/>
      <c r="F62" s="1"/>
      <c r="G62" s="1"/>
      <c r="H62" s="1"/>
      <c r="I62" s="1"/>
      <c r="J62" s="1"/>
      <c r="K62" s="1"/>
    </row>
    <row r="63" spans="2:11" x14ac:dyDescent="0.2">
      <c r="B63" s="204"/>
      <c r="C63" s="1"/>
      <c r="D63" s="1"/>
      <c r="E63" s="1"/>
      <c r="F63" s="1"/>
      <c r="G63" s="1"/>
      <c r="H63" s="1"/>
      <c r="I63" s="1"/>
      <c r="J63" s="1"/>
      <c r="K63" s="1"/>
    </row>
    <row r="64" spans="2:11" x14ac:dyDescent="0.2">
      <c r="B64" s="204"/>
      <c r="C64" s="1"/>
      <c r="D64" s="1"/>
      <c r="E64" s="1"/>
      <c r="F64" s="1"/>
      <c r="G64" s="1"/>
      <c r="H64" s="1"/>
      <c r="I64" s="1"/>
      <c r="J64" s="1"/>
      <c r="K64" s="1"/>
    </row>
    <row r="65" spans="2:11" x14ac:dyDescent="0.2">
      <c r="B65" s="204"/>
      <c r="C65" s="1"/>
      <c r="D65" s="1"/>
      <c r="E65" s="1"/>
      <c r="F65" s="1"/>
      <c r="G65" s="1"/>
      <c r="H65" s="1"/>
      <c r="I65" s="1"/>
      <c r="J65" s="1"/>
      <c r="K65" s="1"/>
    </row>
    <row r="66" spans="2:11" x14ac:dyDescent="0.2">
      <c r="B66" s="204"/>
      <c r="C66" s="1"/>
      <c r="D66" s="1"/>
      <c r="E66" s="1"/>
      <c r="F66" s="1"/>
      <c r="G66" s="1"/>
      <c r="H66" s="1"/>
      <c r="I66" s="1"/>
      <c r="J66" s="1"/>
      <c r="K66" s="1"/>
    </row>
    <row r="67" spans="2:11" x14ac:dyDescent="0.2">
      <c r="B67" s="204"/>
      <c r="C67" s="1"/>
      <c r="D67" s="1"/>
      <c r="E67" s="1"/>
      <c r="F67" s="1"/>
      <c r="G67" s="1"/>
      <c r="H67" s="1"/>
      <c r="I67" s="1"/>
      <c r="J67" s="1"/>
      <c r="K67" s="1"/>
    </row>
    <row r="68" spans="2:11" x14ac:dyDescent="0.2">
      <c r="B68" s="204"/>
      <c r="C68" s="1"/>
      <c r="D68" s="1"/>
      <c r="E68" s="1"/>
      <c r="F68" s="1"/>
      <c r="G68" s="1"/>
      <c r="H68" s="1"/>
      <c r="I68" s="1"/>
      <c r="J68" s="1"/>
      <c r="K68" s="1"/>
    </row>
    <row r="69" spans="2:11" x14ac:dyDescent="0.2">
      <c r="B69" s="204"/>
      <c r="C69" s="1"/>
      <c r="D69" s="1"/>
      <c r="E69" s="1"/>
      <c r="F69" s="1"/>
      <c r="G69" s="1"/>
      <c r="H69" s="1"/>
      <c r="I69" s="1"/>
      <c r="J69" s="1"/>
      <c r="K69" s="1"/>
    </row>
    <row r="70" spans="2:11" x14ac:dyDescent="0.2">
      <c r="B70" s="204"/>
      <c r="C70" s="1"/>
      <c r="D70" s="1"/>
      <c r="E70" s="1"/>
      <c r="F70" s="1"/>
      <c r="G70" s="1"/>
      <c r="H70" s="1"/>
      <c r="I70" s="1"/>
      <c r="J70" s="1"/>
      <c r="K70" s="1"/>
    </row>
    <row r="71" spans="2:11" x14ac:dyDescent="0.2">
      <c r="B71" s="204"/>
      <c r="C71" s="1"/>
      <c r="D71" s="1"/>
      <c r="E71" s="1"/>
      <c r="F71" s="1"/>
      <c r="G71" s="1"/>
      <c r="H71" s="1"/>
      <c r="I71" s="1"/>
      <c r="J71" s="1"/>
      <c r="K71" s="1"/>
    </row>
    <row r="72" spans="2:11" x14ac:dyDescent="0.2">
      <c r="B72" s="204"/>
      <c r="C72" s="1"/>
      <c r="D72" s="1"/>
      <c r="E72" s="1"/>
      <c r="F72" s="1"/>
      <c r="G72" s="1"/>
      <c r="H72" s="1"/>
      <c r="I72" s="1"/>
      <c r="J72" s="1"/>
      <c r="K72" s="1"/>
    </row>
    <row r="73" spans="2:11" x14ac:dyDescent="0.2">
      <c r="B73" s="204"/>
      <c r="C73" s="1"/>
      <c r="D73" s="1"/>
      <c r="E73" s="1"/>
      <c r="F73" s="1"/>
      <c r="G73" s="1"/>
      <c r="H73" s="1"/>
      <c r="I73" s="1"/>
      <c r="J73" s="1"/>
      <c r="K73" s="1"/>
    </row>
    <row r="74" spans="2:11" x14ac:dyDescent="0.2">
      <c r="B74" s="204"/>
      <c r="C74" s="1"/>
      <c r="D74" s="1"/>
      <c r="E74" s="1"/>
      <c r="F74" s="1"/>
      <c r="G74" s="1"/>
      <c r="H74" s="1"/>
      <c r="I74" s="1"/>
      <c r="J74" s="1"/>
      <c r="K74" s="1"/>
    </row>
    <row r="75" spans="2:11" x14ac:dyDescent="0.2">
      <c r="B75" s="205"/>
      <c r="C75" s="206"/>
      <c r="D75" s="206"/>
      <c r="E75" s="206"/>
      <c r="F75" s="206"/>
      <c r="G75" s="206"/>
      <c r="H75" s="206"/>
      <c r="I75" s="206"/>
      <c r="J75" s="206"/>
      <c r="K75" s="206"/>
    </row>
  </sheetData>
  <mergeCells count="4">
    <mergeCell ref="B22:J22"/>
    <mergeCell ref="B39:J39"/>
    <mergeCell ref="B2:J2"/>
    <mergeCell ref="B4:J4"/>
  </mergeCells>
  <pageMargins left="0.7" right="0.7" top="0.75" bottom="0.75" header="0.3" footer="0.3"/>
  <pageSetup paperSize="9" orientation="portrait" horizontalDpi="18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65255"/>
  <sheetViews>
    <sheetView view="pageBreakPreview" zoomScale="115" zoomScaleNormal="75" zoomScaleSheetLayoutView="115" workbookViewId="0">
      <selection activeCell="A11" sqref="A11:B11"/>
    </sheetView>
  </sheetViews>
  <sheetFormatPr defaultRowHeight="12.75" x14ac:dyDescent="0.2"/>
  <cols>
    <col min="1" max="1" width="3.5703125" style="24" bestFit="1" customWidth="1"/>
    <col min="2" max="2" width="1" style="23" customWidth="1"/>
    <col min="3" max="3" width="1.5703125" style="23" customWidth="1"/>
    <col min="4" max="4" width="12.85546875" style="23" customWidth="1"/>
    <col min="5" max="5" width="1.42578125" style="23" bestFit="1" customWidth="1"/>
    <col min="6" max="6" width="6.7109375" style="23" customWidth="1"/>
    <col min="7" max="9" width="2.7109375" style="23" customWidth="1"/>
    <col min="10" max="10" width="0.85546875" style="23" customWidth="1"/>
    <col min="11" max="11" width="2.28515625" style="23" customWidth="1"/>
    <col min="12" max="12" width="2.7109375" style="23" customWidth="1"/>
    <col min="13" max="13" width="0.85546875" style="24" customWidth="1"/>
    <col min="14" max="16" width="2.7109375" style="24" customWidth="1"/>
    <col min="17" max="17" width="5.140625" style="24" customWidth="1"/>
    <col min="18" max="18" width="3.5703125" style="24" bestFit="1" customWidth="1"/>
    <col min="19" max="19" width="1" style="24" customWidth="1"/>
    <col min="20" max="20" width="1.5703125" style="24" customWidth="1"/>
    <col min="21" max="21" width="12.85546875" style="24" customWidth="1"/>
    <col min="22" max="22" width="1.42578125" style="24" bestFit="1" customWidth="1"/>
    <col min="23" max="23" width="6.7109375" style="24" customWidth="1"/>
    <col min="24" max="26" width="2.7109375" style="24" customWidth="1"/>
    <col min="27" max="27" width="0.85546875" style="24" customWidth="1"/>
    <col min="28" max="28" width="2.28515625" style="24" customWidth="1"/>
    <col min="29" max="29" width="2.7109375" style="24" customWidth="1"/>
    <col min="30" max="30" width="0.85546875" style="24" customWidth="1"/>
    <col min="31" max="33" width="2.7109375" style="24" customWidth="1"/>
    <col min="34" max="34" width="3.7109375" style="65" hidden="1" customWidth="1"/>
    <col min="35" max="35" width="12.42578125" style="181" hidden="1" customWidth="1"/>
    <col min="36" max="36" width="3" style="180" hidden="1" customWidth="1"/>
    <col min="37" max="37" width="3" style="58" hidden="1" customWidth="1"/>
    <col min="38" max="38" width="9.42578125" style="58" hidden="1" customWidth="1"/>
    <col min="39" max="39" width="2.85546875" style="49" hidden="1" customWidth="1"/>
    <col min="40" max="40" width="4.28515625" style="16" hidden="1" customWidth="1"/>
    <col min="41" max="41" width="15.42578125" style="16" hidden="1" customWidth="1"/>
    <col min="42" max="42" width="9.140625" style="16" hidden="1" customWidth="1"/>
    <col min="43" max="43" width="7" style="16" hidden="1" customWidth="1"/>
    <col min="44" max="44" width="6.140625" style="16" hidden="1" customWidth="1"/>
    <col min="45" max="46" width="9.140625" style="16" hidden="1" customWidth="1"/>
    <col min="47" max="47" width="2.85546875" style="16" hidden="1" customWidth="1"/>
    <col min="48" max="48" width="2" style="16" hidden="1" customWidth="1"/>
    <col min="49" max="49" width="2.28515625" style="16" hidden="1" customWidth="1"/>
    <col min="50" max="50" width="2.140625" style="16" hidden="1" customWidth="1"/>
    <col min="51" max="51" width="2.28515625" style="16" hidden="1" customWidth="1"/>
    <col min="52" max="52" width="3.7109375" style="16" hidden="1" customWidth="1"/>
    <col min="53" max="53" width="6.28515625" style="16" hidden="1" customWidth="1"/>
    <col min="54" max="95" width="9.140625" style="16" hidden="1" customWidth="1"/>
    <col min="96" max="96" width="10.28515625" style="16" hidden="1" customWidth="1"/>
    <col min="97" max="97" width="9.140625" style="16" hidden="1" customWidth="1"/>
    <col min="98" max="106" width="9.140625" style="16" customWidth="1"/>
    <col min="107" max="16384" width="9.140625" style="16"/>
  </cols>
  <sheetData>
    <row r="1" spans="1:133" ht="33.75" x14ac:dyDescent="0.5">
      <c r="A1" s="521" t="s">
        <v>96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63"/>
      <c r="AJ1" s="237"/>
      <c r="AK1" s="60"/>
      <c r="AL1" s="60"/>
      <c r="AM1" s="53"/>
      <c r="AN1" s="17"/>
      <c r="AO1" s="17"/>
      <c r="AP1" s="17"/>
      <c r="AQ1" s="17"/>
    </row>
    <row r="2" spans="1:133" ht="13.5" customHeight="1" x14ac:dyDescent="0.2">
      <c r="A2" s="262"/>
      <c r="B2" s="260"/>
      <c r="C2" s="260"/>
      <c r="D2" s="260"/>
      <c r="E2" s="260"/>
      <c r="F2" s="260"/>
      <c r="G2" s="260"/>
      <c r="H2" s="271"/>
      <c r="I2" s="260"/>
      <c r="J2" s="260"/>
      <c r="K2" s="260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353"/>
      <c r="Z2" s="262"/>
      <c r="AA2" s="262"/>
      <c r="AB2" s="262"/>
      <c r="AC2" s="262"/>
      <c r="AD2" s="262"/>
      <c r="AE2" s="262"/>
      <c r="AF2" s="262"/>
      <c r="AG2" s="262"/>
    </row>
    <row r="3" spans="1:133" ht="18.75" customHeight="1" x14ac:dyDescent="0.25">
      <c r="A3" s="523" t="s">
        <v>1</v>
      </c>
      <c r="B3" s="524"/>
      <c r="C3" s="524"/>
      <c r="D3" s="524"/>
      <c r="E3" s="524"/>
      <c r="F3" s="524"/>
      <c r="G3" s="524"/>
      <c r="H3" s="524"/>
      <c r="I3" s="524"/>
      <c r="J3" s="524"/>
      <c r="K3" s="524"/>
      <c r="L3" s="524"/>
      <c r="M3" s="524"/>
      <c r="N3" s="524"/>
      <c r="O3" s="524"/>
      <c r="P3" s="525"/>
      <c r="R3" s="523" t="s">
        <v>2</v>
      </c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5"/>
      <c r="AH3" s="63"/>
      <c r="AI3" s="238"/>
      <c r="AM3" s="48"/>
      <c r="AO3" s="16" t="s">
        <v>97</v>
      </c>
      <c r="AP3" s="16" t="s">
        <v>98</v>
      </c>
      <c r="AS3" s="16" t="s">
        <v>99</v>
      </c>
      <c r="BB3" s="16" t="s">
        <v>100</v>
      </c>
      <c r="BD3" s="16" t="s">
        <v>101</v>
      </c>
      <c r="BF3" s="16" t="s">
        <v>102</v>
      </c>
      <c r="BI3" s="16" t="s">
        <v>103</v>
      </c>
      <c r="BL3" s="16" t="s">
        <v>104</v>
      </c>
      <c r="BO3" s="16" t="s">
        <v>105</v>
      </c>
      <c r="BS3" s="16" t="s">
        <v>106</v>
      </c>
      <c r="BW3" s="16" t="s">
        <v>107</v>
      </c>
      <c r="CA3" s="16" t="s">
        <v>108</v>
      </c>
    </row>
    <row r="4" spans="1:133" ht="12.95" customHeight="1" x14ac:dyDescent="0.2">
      <c r="A4" s="28"/>
      <c r="B4" s="24"/>
      <c r="C4" s="24"/>
      <c r="D4" s="24"/>
      <c r="E4" s="24"/>
      <c r="F4" s="24"/>
      <c r="G4" s="338" t="s">
        <v>109</v>
      </c>
      <c r="H4" s="338" t="s">
        <v>110</v>
      </c>
      <c r="I4" s="338" t="s">
        <v>111</v>
      </c>
      <c r="J4" s="522" t="s">
        <v>112</v>
      </c>
      <c r="K4" s="522"/>
      <c r="L4" s="522" t="s">
        <v>113</v>
      </c>
      <c r="M4" s="522"/>
      <c r="N4" s="522"/>
      <c r="O4" s="338" t="str">
        <f>T("+/-")</f>
        <v>+/-</v>
      </c>
      <c r="P4" s="245" t="s">
        <v>114</v>
      </c>
      <c r="Q4" s="27"/>
      <c r="R4" s="28"/>
      <c r="X4" s="338" t="s">
        <v>109</v>
      </c>
      <c r="Y4" s="338" t="s">
        <v>110</v>
      </c>
      <c r="Z4" s="338" t="s">
        <v>111</v>
      </c>
      <c r="AA4" s="522" t="s">
        <v>112</v>
      </c>
      <c r="AB4" s="522"/>
      <c r="AC4" s="522" t="s">
        <v>113</v>
      </c>
      <c r="AD4" s="522"/>
      <c r="AE4" s="522"/>
      <c r="AF4" s="338" t="str">
        <f>T("+/-")</f>
        <v>+/-</v>
      </c>
      <c r="AG4" s="245" t="s">
        <v>114</v>
      </c>
      <c r="AI4" s="66"/>
      <c r="AJ4" s="67"/>
      <c r="AK4" s="66"/>
      <c r="AL4" s="66"/>
      <c r="AM4" s="47"/>
      <c r="AN4" s="37"/>
    </row>
    <row r="5" spans="1:133" ht="12.95" customHeight="1" x14ac:dyDescent="0.2">
      <c r="A5" s="516" t="s">
        <v>115</v>
      </c>
      <c r="B5" s="517"/>
      <c r="C5" s="333" t="str">
        <f>CH8</f>
        <v>De Torpedo's</v>
      </c>
      <c r="D5" s="333"/>
      <c r="E5" s="333"/>
      <c r="F5" s="333"/>
      <c r="G5" s="334">
        <f>CI8</f>
        <v>3</v>
      </c>
      <c r="H5" s="334">
        <f>CJ8</f>
        <v>1</v>
      </c>
      <c r="I5" s="334">
        <f>CL8</f>
        <v>1</v>
      </c>
      <c r="J5" s="513">
        <f>CK8</f>
        <v>1</v>
      </c>
      <c r="K5" s="513"/>
      <c r="L5" s="167">
        <f>CM8</f>
        <v>3</v>
      </c>
      <c r="M5" s="334" t="s">
        <v>16</v>
      </c>
      <c r="N5" s="282">
        <f>CN8</f>
        <v>3</v>
      </c>
      <c r="O5" s="334">
        <f>CO8</f>
        <v>0</v>
      </c>
      <c r="P5" s="306">
        <f>SUM(H5*3+I5*1)</f>
        <v>4</v>
      </c>
      <c r="Q5" s="167"/>
      <c r="R5" s="516" t="s">
        <v>115</v>
      </c>
      <c r="S5" s="517"/>
      <c r="T5" s="333" t="str">
        <f>CH15</f>
        <v>De Doofpot</v>
      </c>
      <c r="U5" s="333"/>
      <c r="V5" s="333"/>
      <c r="W5" s="333"/>
      <c r="X5" s="335">
        <f t="shared" ref="X5:Y8" si="0">CI15</f>
        <v>3</v>
      </c>
      <c r="Y5" s="335">
        <f t="shared" si="0"/>
        <v>2</v>
      </c>
      <c r="Z5" s="334">
        <f>CL15</f>
        <v>0</v>
      </c>
      <c r="AA5" s="514">
        <f>CK15</f>
        <v>1</v>
      </c>
      <c r="AB5" s="514"/>
      <c r="AC5" s="218">
        <f>CM15</f>
        <v>5</v>
      </c>
      <c r="AD5" s="334" t="s">
        <v>16</v>
      </c>
      <c r="AE5" s="326">
        <f t="shared" ref="AE5:AF8" si="1">CN15</f>
        <v>3</v>
      </c>
      <c r="AF5" s="335">
        <f t="shared" si="1"/>
        <v>2</v>
      </c>
      <c r="AG5" s="306">
        <f>SUM(Y5*3+Z5*1)</f>
        <v>6</v>
      </c>
      <c r="AH5" s="63"/>
      <c r="AI5" s="68"/>
      <c r="AJ5" s="67"/>
      <c r="AK5" s="68"/>
      <c r="AL5" s="68"/>
      <c r="AM5" s="48"/>
      <c r="AN5" s="38"/>
      <c r="CR5" s="19"/>
    </row>
    <row r="6" spans="1:133" ht="12.95" customHeight="1" thickBot="1" x14ac:dyDescent="0.25">
      <c r="A6" s="516" t="s">
        <v>116</v>
      </c>
      <c r="B6" s="517"/>
      <c r="C6" s="333" t="str">
        <f>CH9</f>
        <v>AccentSport Rakkers</v>
      </c>
      <c r="D6" s="333"/>
      <c r="E6" s="333"/>
      <c r="F6" s="333"/>
      <c r="G6" s="334">
        <f t="shared" ref="G6:H8" si="2">CI9</f>
        <v>3</v>
      </c>
      <c r="H6" s="334">
        <f t="shared" si="2"/>
        <v>1</v>
      </c>
      <c r="I6" s="334">
        <f>CL9</f>
        <v>1</v>
      </c>
      <c r="J6" s="513">
        <f>CK9</f>
        <v>1</v>
      </c>
      <c r="K6" s="513"/>
      <c r="L6" s="167">
        <f>CM9</f>
        <v>4</v>
      </c>
      <c r="M6" s="334" t="s">
        <v>16</v>
      </c>
      <c r="N6" s="282">
        <f t="shared" ref="N6:O8" si="3">CN9</f>
        <v>6</v>
      </c>
      <c r="O6" s="334">
        <f t="shared" si="3"/>
        <v>-2</v>
      </c>
      <c r="P6" s="306">
        <f>SUM(H6*3+I6*1)</f>
        <v>4</v>
      </c>
      <c r="Q6" s="167"/>
      <c r="R6" s="516" t="s">
        <v>116</v>
      </c>
      <c r="S6" s="517"/>
      <c r="T6" s="333" t="str">
        <f>CH16</f>
        <v>Fons Vitaeplein</v>
      </c>
      <c r="U6" s="333"/>
      <c r="V6" s="333"/>
      <c r="W6" s="333"/>
      <c r="X6" s="335">
        <f t="shared" si="0"/>
        <v>2</v>
      </c>
      <c r="Y6" s="335">
        <f t="shared" si="0"/>
        <v>1</v>
      </c>
      <c r="Z6" s="334">
        <f>CL16</f>
        <v>0</v>
      </c>
      <c r="AA6" s="514">
        <f>CK16</f>
        <v>1</v>
      </c>
      <c r="AB6" s="514"/>
      <c r="AC6" s="218">
        <f>CM16</f>
        <v>2</v>
      </c>
      <c r="AD6" s="334" t="s">
        <v>16</v>
      </c>
      <c r="AE6" s="326">
        <f t="shared" si="1"/>
        <v>2</v>
      </c>
      <c r="AF6" s="335">
        <f t="shared" si="1"/>
        <v>0</v>
      </c>
      <c r="AG6" s="306">
        <f>SUM(Y6*3+Z6*1)</f>
        <v>3</v>
      </c>
      <c r="AS6" s="16" t="s">
        <v>117</v>
      </c>
      <c r="CR6" s="19"/>
    </row>
    <row r="7" spans="1:133" ht="12.95" customHeight="1" thickBot="1" x14ac:dyDescent="0.25">
      <c r="A7" s="516" t="s">
        <v>118</v>
      </c>
      <c r="B7" s="517"/>
      <c r="C7" s="333" t="str">
        <f>CH10</f>
        <v>Asvv de Schollevers</v>
      </c>
      <c r="D7" s="333"/>
      <c r="E7" s="333"/>
      <c r="F7" s="333"/>
      <c r="G7" s="334">
        <f t="shared" si="2"/>
        <v>2</v>
      </c>
      <c r="H7" s="334">
        <f t="shared" si="2"/>
        <v>1</v>
      </c>
      <c r="I7" s="334">
        <f>CL10</f>
        <v>0</v>
      </c>
      <c r="J7" s="513">
        <f>CK10</f>
        <v>1</v>
      </c>
      <c r="K7" s="513"/>
      <c r="L7" s="167">
        <f>CM10</f>
        <v>3</v>
      </c>
      <c r="M7" s="334" t="s">
        <v>16</v>
      </c>
      <c r="N7" s="282">
        <f t="shared" si="3"/>
        <v>1</v>
      </c>
      <c r="O7" s="334">
        <f t="shared" si="3"/>
        <v>2</v>
      </c>
      <c r="P7" s="306">
        <f>SUM(H7*3+I7*1)</f>
        <v>3</v>
      </c>
      <c r="Q7" s="167"/>
      <c r="R7" s="516" t="s">
        <v>118</v>
      </c>
      <c r="S7" s="517"/>
      <c r="T7" s="333" t="str">
        <f>CH17</f>
        <v>De Flitsers 3</v>
      </c>
      <c r="U7" s="333"/>
      <c r="V7" s="333"/>
      <c r="W7" s="333"/>
      <c r="X7" s="335">
        <f t="shared" si="0"/>
        <v>3</v>
      </c>
      <c r="Y7" s="335">
        <f t="shared" si="0"/>
        <v>1</v>
      </c>
      <c r="Z7" s="334">
        <f>CL17</f>
        <v>0</v>
      </c>
      <c r="AA7" s="514">
        <f>CK17</f>
        <v>2</v>
      </c>
      <c r="AB7" s="514"/>
      <c r="AC7" s="218">
        <f>CM17</f>
        <v>2</v>
      </c>
      <c r="AD7" s="334" t="s">
        <v>16</v>
      </c>
      <c r="AE7" s="326">
        <f t="shared" si="1"/>
        <v>3</v>
      </c>
      <c r="AF7" s="335">
        <f t="shared" si="1"/>
        <v>-1</v>
      </c>
      <c r="AG7" s="306">
        <f>SUM(Y7*3+Z7*1)</f>
        <v>3</v>
      </c>
      <c r="AH7" s="69" t="s">
        <v>119</v>
      </c>
      <c r="AI7" s="70" t="s">
        <v>120</v>
      </c>
      <c r="AJ7" s="70">
        <f>I12</f>
        <v>2</v>
      </c>
      <c r="AK7" s="232">
        <f>K12</f>
        <v>1</v>
      </c>
      <c r="AL7" s="73" t="s">
        <v>121</v>
      </c>
      <c r="AM7" s="54" t="s">
        <v>122</v>
      </c>
      <c r="AN7" s="44" t="s">
        <v>123</v>
      </c>
      <c r="AO7" s="45" t="str">
        <f>IF(AJ7&lt;&gt;"",IF(AJ7&gt;AK7,AI7,IF(AK7&gt;AJ7,AL7,"Draw")),"")</f>
        <v>Uruguay</v>
      </c>
      <c r="AP7" s="45" t="str">
        <f>IF(AJ7&lt;&gt;"",IF(AJ7&lt;AK7,AI7,IF(AK7&lt;AJ7,AL7,"Draw")),"")</f>
        <v>Denmark</v>
      </c>
      <c r="AQ7" s="45"/>
      <c r="AT7" s="16" t="s">
        <v>124</v>
      </c>
      <c r="AU7" s="16" t="s">
        <v>110</v>
      </c>
      <c r="AV7" s="16" t="s">
        <v>125</v>
      </c>
      <c r="AW7" s="16" t="s">
        <v>126</v>
      </c>
      <c r="AX7" s="16" t="s">
        <v>127</v>
      </c>
      <c r="AY7" s="16" t="s">
        <v>123</v>
      </c>
      <c r="AZ7" s="16" t="s">
        <v>128</v>
      </c>
      <c r="BA7" s="16" t="s">
        <v>129</v>
      </c>
      <c r="BB7" s="16" t="s">
        <v>130</v>
      </c>
      <c r="BC7" s="20" t="s">
        <v>129</v>
      </c>
      <c r="BD7" s="16" t="s">
        <v>130</v>
      </c>
      <c r="BE7" s="20" t="s">
        <v>129</v>
      </c>
      <c r="BF7" s="16" t="s">
        <v>130</v>
      </c>
      <c r="BG7" s="20" t="s">
        <v>129</v>
      </c>
      <c r="BH7" s="20" t="s">
        <v>128</v>
      </c>
      <c r="BI7" s="16" t="s">
        <v>130</v>
      </c>
      <c r="BJ7" s="16" t="s">
        <v>129</v>
      </c>
      <c r="BK7" s="20" t="s">
        <v>128</v>
      </c>
      <c r="BL7" s="16" t="s">
        <v>130</v>
      </c>
      <c r="BM7" s="16" t="s">
        <v>129</v>
      </c>
      <c r="BN7" s="20" t="s">
        <v>128</v>
      </c>
      <c r="BO7" s="16" t="s">
        <v>130</v>
      </c>
      <c r="BP7" s="16" t="s">
        <v>129</v>
      </c>
      <c r="BQ7" s="20" t="s">
        <v>128</v>
      </c>
      <c r="BR7" s="20" t="s">
        <v>127</v>
      </c>
      <c r="BS7" s="16" t="s">
        <v>130</v>
      </c>
      <c r="BT7" s="16" t="s">
        <v>129</v>
      </c>
      <c r="BU7" s="20" t="s">
        <v>128</v>
      </c>
      <c r="BV7" s="20" t="s">
        <v>127</v>
      </c>
      <c r="BW7" s="16" t="s">
        <v>130</v>
      </c>
      <c r="BX7" s="16" t="s">
        <v>129</v>
      </c>
      <c r="BY7" s="20" t="s">
        <v>128</v>
      </c>
      <c r="BZ7" s="20" t="s">
        <v>127</v>
      </c>
      <c r="CA7" s="16" t="s">
        <v>130</v>
      </c>
      <c r="CB7" s="20" t="s">
        <v>129</v>
      </c>
      <c r="CC7" s="20" t="s">
        <v>128</v>
      </c>
      <c r="CD7" s="20" t="s">
        <v>127</v>
      </c>
      <c r="CI7" s="20" t="s">
        <v>131</v>
      </c>
      <c r="CJ7" s="20" t="s">
        <v>110</v>
      </c>
      <c r="CK7" s="20" t="s">
        <v>125</v>
      </c>
      <c r="CL7" s="20" t="s">
        <v>126</v>
      </c>
      <c r="CM7" s="20" t="s">
        <v>127</v>
      </c>
      <c r="CN7" s="20" t="s">
        <v>123</v>
      </c>
      <c r="CO7" s="20" t="s">
        <v>128</v>
      </c>
      <c r="CP7" s="20" t="s">
        <v>129</v>
      </c>
      <c r="CR7" s="21" t="e">
        <f>#REF!</f>
        <v>#REF!</v>
      </c>
    </row>
    <row r="8" spans="1:133" ht="12.95" customHeight="1" thickBot="1" x14ac:dyDescent="0.25">
      <c r="A8" s="516" t="s">
        <v>132</v>
      </c>
      <c r="B8" s="517"/>
      <c r="C8" s="333" t="str">
        <f>CH11</f>
        <v>Het Bestuur</v>
      </c>
      <c r="D8" s="333"/>
      <c r="E8" s="333"/>
      <c r="F8" s="333"/>
      <c r="G8" s="334">
        <f t="shared" si="2"/>
        <v>2</v>
      </c>
      <c r="H8" s="334">
        <f t="shared" si="2"/>
        <v>1</v>
      </c>
      <c r="I8" s="334">
        <f>CL11</f>
        <v>0</v>
      </c>
      <c r="J8" s="513">
        <f>CK11</f>
        <v>1</v>
      </c>
      <c r="K8" s="513"/>
      <c r="L8" s="167">
        <f>CM11</f>
        <v>2</v>
      </c>
      <c r="M8" s="334" t="s">
        <v>16</v>
      </c>
      <c r="N8" s="282">
        <f t="shared" si="3"/>
        <v>2</v>
      </c>
      <c r="O8" s="334">
        <f t="shared" si="3"/>
        <v>0</v>
      </c>
      <c r="P8" s="306">
        <f>SUM(H8*3+I8*1)</f>
        <v>3</v>
      </c>
      <c r="Q8" s="167"/>
      <c r="R8" s="516" t="s">
        <v>132</v>
      </c>
      <c r="S8" s="517"/>
      <c r="T8" s="333" t="str">
        <f>CH18</f>
        <v>Vrienden van Van Essen</v>
      </c>
      <c r="U8" s="333"/>
      <c r="V8" s="333"/>
      <c r="W8" s="333"/>
      <c r="X8" s="335">
        <f t="shared" si="0"/>
        <v>2</v>
      </c>
      <c r="Y8" s="335">
        <f t="shared" si="0"/>
        <v>1</v>
      </c>
      <c r="Z8" s="334">
        <f>CL18</f>
        <v>0</v>
      </c>
      <c r="AA8" s="514">
        <f>CK18</f>
        <v>1</v>
      </c>
      <c r="AB8" s="514"/>
      <c r="AC8" s="218">
        <f>CM18</f>
        <v>2</v>
      </c>
      <c r="AD8" s="334" t="s">
        <v>16</v>
      </c>
      <c r="AE8" s="326">
        <f t="shared" si="1"/>
        <v>3</v>
      </c>
      <c r="AF8" s="335">
        <f t="shared" si="1"/>
        <v>-1</v>
      </c>
      <c r="AG8" s="306">
        <f>SUM(Y8*3+Z8*1)</f>
        <v>3</v>
      </c>
      <c r="AH8" s="70" t="s">
        <v>133</v>
      </c>
      <c r="AI8" s="70" t="s">
        <v>134</v>
      </c>
      <c r="AJ8" s="70">
        <f>I44</f>
        <v>2</v>
      </c>
      <c r="AK8" s="232">
        <f>K44</f>
        <v>1</v>
      </c>
      <c r="AL8" s="73" t="s">
        <v>135</v>
      </c>
      <c r="AM8" s="51" t="s">
        <v>136</v>
      </c>
      <c r="AN8" s="44" t="s">
        <v>137</v>
      </c>
      <c r="AO8" s="45" t="str">
        <f t="shared" ref="AO8:AO30" si="4">IF(AJ8&lt;&gt;"",IF(AJ8&gt;AK8,AI8,IF(AK8&gt;AJ8,AL8,"Draw")),"")</f>
        <v>Ireland</v>
      </c>
      <c r="AP8" s="45" t="str">
        <f t="shared" ref="AP8:AP30" si="5">IF(AJ8&lt;&gt;"",IF(AJ8&lt;AK8,AI8,IF(AK8&lt;AJ8,AL8,"Draw")),"")</f>
        <v>Cameroon</v>
      </c>
      <c r="AQ8" s="45"/>
      <c r="AS8" s="16" t="str">
        <f>KWALIFICATIE!E5</f>
        <v>De Torpedo's</v>
      </c>
      <c r="AT8" s="16">
        <f>COUNT(France_Played)</f>
        <v>3</v>
      </c>
      <c r="AU8" s="16">
        <f>COUNTIF(Groupstage_Winners,"France")</f>
        <v>1</v>
      </c>
      <c r="AV8" s="16">
        <f>COUNTIF(Groupstage_Losers,"France")</f>
        <v>1</v>
      </c>
      <c r="AW8" s="16">
        <f>AT8-(AU8+AV8)</f>
        <v>1</v>
      </c>
      <c r="AX8" s="16">
        <f>SUM(France_Played)</f>
        <v>3</v>
      </c>
      <c r="AY8" s="16">
        <f>SUM(France_Against)</f>
        <v>3</v>
      </c>
      <c r="AZ8" s="16">
        <f>AX8-AY8</f>
        <v>0</v>
      </c>
      <c r="BA8" s="16">
        <f>SUM((AU8*3)+(AW8*1))</f>
        <v>4</v>
      </c>
      <c r="BB8" s="16" t="str">
        <f>IF($BA8&gt;=$BA9,$AS8,$AS9)</f>
        <v>De Torpedo's</v>
      </c>
      <c r="BC8" s="16">
        <f>VLOOKUP($BB8,$AS8:$BA11,9,FALSE)</f>
        <v>4</v>
      </c>
      <c r="BD8" s="16" t="str">
        <f>IF($BC8&gt;=$BC10,$BB8,$BB10)</f>
        <v>De Torpedo's</v>
      </c>
      <c r="BE8" s="16">
        <f>VLOOKUP($BD8,$AS8:$BA11,9,FALSE)</f>
        <v>4</v>
      </c>
      <c r="BF8" s="16" t="str">
        <f>IF($BE8&gt;=$BE11,$BD8,$BD11)</f>
        <v>De Torpedo's</v>
      </c>
      <c r="BG8" s="16">
        <f>VLOOKUP($BF8,$AS8:$BA11,9,FALSE)</f>
        <v>4</v>
      </c>
      <c r="BH8" s="16">
        <f>VLOOKUP($BF8,$AS8:$BA11,8,FALSE)</f>
        <v>0</v>
      </c>
      <c r="BI8" s="16" t="str">
        <f>IF(AND($BG8=$BG9,$BH9&gt;$BH8),$BF9,$BF8)</f>
        <v>De Torpedo's</v>
      </c>
      <c r="BJ8" s="16">
        <f>VLOOKUP($BI8,$AS8:$BA11,9,FALSE)</f>
        <v>4</v>
      </c>
      <c r="BK8" s="16">
        <f>VLOOKUP($BI8,$AS8:$BA11,8,FALSE)</f>
        <v>0</v>
      </c>
      <c r="BL8" s="16" t="str">
        <f>IF(AND($BJ8=$BJ10,$BK10&gt;$BK8),$BI10,$BI8)</f>
        <v>De Torpedo's</v>
      </c>
      <c r="BM8" s="16">
        <f>VLOOKUP($BL8,$AS8:$BA11,9,FALSE)</f>
        <v>4</v>
      </c>
      <c r="BN8" s="16">
        <f>VLOOKUP($BL8,$AS8:$BA11,8,FALSE)</f>
        <v>0</v>
      </c>
      <c r="BO8" s="16" t="str">
        <f>IF(AND($BM8=$BM11,$BN11&gt;$BN8),$BL11,$BL8)</f>
        <v>De Torpedo's</v>
      </c>
      <c r="BP8" s="16">
        <f>VLOOKUP($BO8,$AS8:$BA11,9,FALSE)</f>
        <v>4</v>
      </c>
      <c r="BQ8" s="16">
        <f>VLOOKUP($BO8,$AS8:$BA11,8,FALSE)</f>
        <v>0</v>
      </c>
      <c r="BR8" s="16">
        <f>VLOOKUP($BO8,$AS8:$BA11,6,FALSE)</f>
        <v>3</v>
      </c>
      <c r="BS8" s="16" t="str">
        <f>IF(AND($BP8=$BP9,$BQ8=$BQ9,$BR9&gt;$BR8),$BO9,$BO8)</f>
        <v>De Torpedo's</v>
      </c>
      <c r="BT8" s="16">
        <f>VLOOKUP($BS8,$AS8:$BA11,9,FALSE)</f>
        <v>4</v>
      </c>
      <c r="BU8" s="16">
        <f>VLOOKUP($BS8,$AS8:$BA11,8,FALSE)</f>
        <v>0</v>
      </c>
      <c r="BV8" s="16">
        <f>VLOOKUP($BS8,$AS8:$BA11,6,FALSE)</f>
        <v>3</v>
      </c>
      <c r="BW8" s="16" t="str">
        <f>IF(AND($BT8=$BT10,$BU8=$BU10,$BV10&gt;$BV8),$BS10,$BS8)</f>
        <v>De Torpedo's</v>
      </c>
      <c r="BX8" s="16">
        <f>VLOOKUP($BW8,$AS8:$BA11,9,FALSE)</f>
        <v>4</v>
      </c>
      <c r="BY8" s="16">
        <f>VLOOKUP($BW8,$AS8:$BA11,8,FALSE)</f>
        <v>0</v>
      </c>
      <c r="BZ8" s="16">
        <f>VLOOKUP($BW8,$AS8:$BA11,6,FALSE)</f>
        <v>3</v>
      </c>
      <c r="CA8" s="16" t="str">
        <f>IF(AND($BX8=$BX11,$BY8=$BY11,$BZ11&gt;$BZ8),$BW11,$BW8)</f>
        <v>De Torpedo's</v>
      </c>
      <c r="CB8" s="16">
        <f>VLOOKUP($CA8,$AS8:$BA11,9,FALSE)</f>
        <v>4</v>
      </c>
      <c r="CC8" s="16">
        <f>VLOOKUP($CA8,$AS8:$BA11,8,FALSE)</f>
        <v>0</v>
      </c>
      <c r="CD8" s="16">
        <f>VLOOKUP($CA8,$AS8:$BA11,6,FALSE)</f>
        <v>3</v>
      </c>
      <c r="CH8" s="16" t="str">
        <f>CA8</f>
        <v>De Torpedo's</v>
      </c>
      <c r="CI8" s="16">
        <f>VLOOKUP($CH8,$AS8:$BA11,2,FALSE)</f>
        <v>3</v>
      </c>
      <c r="CJ8" s="16">
        <f>VLOOKUP($CH8,$AS8:$BA11,3,FALSE)</f>
        <v>1</v>
      </c>
      <c r="CK8" s="16">
        <f>VLOOKUP($CH8,$AS8:$BA11,4,FALSE)</f>
        <v>1</v>
      </c>
      <c r="CL8" s="16">
        <f>VLOOKUP($CH8,$AS8:$BA11,5,FALSE)</f>
        <v>1</v>
      </c>
      <c r="CM8" s="16">
        <f>VLOOKUP($CH8,$AS8:$BA11,6,FALSE)</f>
        <v>3</v>
      </c>
      <c r="CN8" s="16">
        <f>VLOOKUP($CH8,$AS8:$BA11,7,FALSE)</f>
        <v>3</v>
      </c>
      <c r="CO8" s="16">
        <f>VLOOKUP($CH8,$AS8:$BA11,8,FALSE)</f>
        <v>0</v>
      </c>
      <c r="CP8" s="16">
        <f>VLOOKUP($CH8,$AS8:$BA11,9,FALSE)</f>
        <v>4</v>
      </c>
      <c r="CR8" s="21" t="e">
        <f>#REF!</f>
        <v>#REF!</v>
      </c>
    </row>
    <row r="9" spans="1:133" ht="14.25" customHeight="1" thickBot="1" x14ac:dyDescent="0.25">
      <c r="A9" s="28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P9" s="32"/>
      <c r="R9" s="28"/>
      <c r="AG9" s="32"/>
      <c r="AH9" s="70" t="s">
        <v>138</v>
      </c>
      <c r="AI9" s="70" t="s">
        <v>139</v>
      </c>
      <c r="AJ9" s="70">
        <f>I11</f>
        <v>1</v>
      </c>
      <c r="AK9" s="232">
        <f>K11</f>
        <v>0</v>
      </c>
      <c r="AL9" s="73" t="s">
        <v>140</v>
      </c>
      <c r="AM9" s="55" t="s">
        <v>141</v>
      </c>
      <c r="AN9" s="44" t="s">
        <v>123</v>
      </c>
      <c r="AO9" s="45" t="str">
        <f>IF(AJ9&lt;&gt;"",IF(AJ9&gt;AK9,AI9,IF(AK9&gt;AJ9,AL9,"Draw")),"")</f>
        <v>France</v>
      </c>
      <c r="AP9" s="45" t="str">
        <f>IF(AJ9&lt;&gt;"",IF(AJ9&lt;AK9,AI9,IF(AK9&lt;AJ9,AL9,"Draw")),"")</f>
        <v>Senegal</v>
      </c>
      <c r="AS9" s="16" t="str">
        <f>KWALIFICATIE!E6</f>
        <v>Asvv de Schollevers</v>
      </c>
      <c r="AT9" s="16">
        <f>COUNT(Senegal_Played)</f>
        <v>2</v>
      </c>
      <c r="AU9" s="16">
        <f>COUNTIF(Groupstage_Winners,"Senegal")</f>
        <v>1</v>
      </c>
      <c r="AV9" s="16">
        <f>COUNTIF(Groupstage_Losers,"Senegal")</f>
        <v>1</v>
      </c>
      <c r="AW9" s="16">
        <f>AT9-(AU9+AV9)</f>
        <v>0</v>
      </c>
      <c r="AX9" s="16">
        <f>SUM(Senegal_Played)</f>
        <v>3</v>
      </c>
      <c r="AY9" s="16">
        <f>SUM(Senegal_Against)</f>
        <v>1</v>
      </c>
      <c r="AZ9" s="16">
        <f>AX9-AY9</f>
        <v>2</v>
      </c>
      <c r="BA9" s="16">
        <f t="shared" ref="BA9:BA11" si="6">SUM((AU9*3)+(AW9*1))</f>
        <v>3</v>
      </c>
      <c r="BB9" s="16" t="str">
        <f>IF($BA9&lt;=$BA8,$AS9,$AS8)</f>
        <v>Asvv de Schollevers</v>
      </c>
      <c r="BC9" s="16">
        <f>VLOOKUP($BB9,$AS8:$BA11,9,FALSE)</f>
        <v>3</v>
      </c>
      <c r="BD9" s="16" t="str">
        <f>IF(BC9&gt;=BC11,BB9,BB11)</f>
        <v>Asvv de Schollevers</v>
      </c>
      <c r="BE9" s="16">
        <f>VLOOKUP($BD9,$AS8:$BA11,9,FALSE)</f>
        <v>3</v>
      </c>
      <c r="BF9" s="16" t="str">
        <f>IF($BE9&gt;=$BE10,$BD9,$BD10)</f>
        <v>AccentSport Rakkers</v>
      </c>
      <c r="BG9" s="16">
        <f>VLOOKUP($BF9,$AS8:$BA11,9,FALSE)</f>
        <v>4</v>
      </c>
      <c r="BH9" s="16">
        <f>VLOOKUP($BF9,$AS8:$BA11,8,FALSE)</f>
        <v>-2</v>
      </c>
      <c r="BI9" s="16" t="str">
        <f>IF(AND($BG8=$BG9,$BH9&gt;$BH8),$BF8,$BF9)</f>
        <v>AccentSport Rakkers</v>
      </c>
      <c r="BJ9" s="16">
        <f>VLOOKUP($BI9,$AS8:$BA11,9,FALSE)</f>
        <v>4</v>
      </c>
      <c r="BK9" s="16">
        <f>VLOOKUP($BI9,$AS8:$BA11,8,FALSE)</f>
        <v>-2</v>
      </c>
      <c r="BL9" s="16" t="str">
        <f>IF(AND($BJ9=$BJ11,$BK11&gt;$BK9),$BI11,$BI9)</f>
        <v>AccentSport Rakkers</v>
      </c>
      <c r="BM9" s="16">
        <f>VLOOKUP($BL9,$AS8:$BA11,9,FALSE)</f>
        <v>4</v>
      </c>
      <c r="BN9" s="16">
        <f>VLOOKUP($BL9,$AS8:$BA11,8,FALSE)</f>
        <v>-2</v>
      </c>
      <c r="BO9" s="16" t="str">
        <f>IF(AND($BM9=$BM10,$BN10&gt;$BN9),$BL10,$BL9)</f>
        <v>AccentSport Rakkers</v>
      </c>
      <c r="BP9" s="16">
        <f>VLOOKUP($BO9,$AS8:$BA11,9,FALSE)</f>
        <v>4</v>
      </c>
      <c r="BQ9" s="16">
        <f>VLOOKUP($BO9,$AS8:$BA11,8,FALSE)</f>
        <v>-2</v>
      </c>
      <c r="BR9" s="16">
        <f>VLOOKUP($BO9,$AS8:$BA11,6,FALSE)</f>
        <v>4</v>
      </c>
      <c r="BS9" s="16" t="str">
        <f>IF(AND($BP8=$BP9,$BQ8=$BQ9,$BR9&gt;$BR8),$BO8,$BO9)</f>
        <v>AccentSport Rakkers</v>
      </c>
      <c r="BT9" s="16">
        <f>VLOOKUP($BS9,$AS8:$BA11,9,FALSE)</f>
        <v>4</v>
      </c>
      <c r="BU9" s="16">
        <f>VLOOKUP($BS9,$AS8:$BA11,8,FALSE)</f>
        <v>-2</v>
      </c>
      <c r="BV9" s="16">
        <f>VLOOKUP($BS9,$AS8:$BA11,6,FALSE)</f>
        <v>4</v>
      </c>
      <c r="BW9" s="16" t="str">
        <f>IF(AND($BT9=$BT11,$BU9=$BU11,$BV11&gt;$BV9),$BS11,$BS9)</f>
        <v>AccentSport Rakkers</v>
      </c>
      <c r="BX9" s="16">
        <f>VLOOKUP($BW9,$AS8:$BA11,9,FALSE)</f>
        <v>4</v>
      </c>
      <c r="BY9" s="16">
        <f>VLOOKUP($BW9,$AS8:$BA11,8,FALSE)</f>
        <v>-2</v>
      </c>
      <c r="BZ9" s="16">
        <f>VLOOKUP($BW9,$AS8:$BA11,6,FALSE)</f>
        <v>4</v>
      </c>
      <c r="CA9" s="16" t="str">
        <f>IF(AND($BX9=$BX10,$BY9=$BY10,$BZ10&gt;$BZ9),$BW10,$BW9)</f>
        <v>AccentSport Rakkers</v>
      </c>
      <c r="CB9" s="16">
        <f>VLOOKUP($CA9,$AS8:$BA11,9,FALSE)</f>
        <v>4</v>
      </c>
      <c r="CC9" s="16">
        <f>VLOOKUP($CA9,$AS8:$BA11,8,FALSE)</f>
        <v>-2</v>
      </c>
      <c r="CD9" s="16">
        <f>VLOOKUP($CA9,$AS8:$BA11,6,FALSE)</f>
        <v>4</v>
      </c>
      <c r="CH9" s="16" t="str">
        <f>CA9</f>
        <v>AccentSport Rakkers</v>
      </c>
      <c r="CI9" s="16">
        <f>VLOOKUP($CH9,$AS8:$BA11,2,FALSE)</f>
        <v>3</v>
      </c>
      <c r="CJ9" s="16">
        <f>VLOOKUP($CH9,$AS8:$BA11,3,FALSE)</f>
        <v>1</v>
      </c>
      <c r="CK9" s="16">
        <f>VLOOKUP($CH9,$AS8:$BA11,4,FALSE)</f>
        <v>1</v>
      </c>
      <c r="CL9" s="16">
        <f>VLOOKUP($CH9,$AS8:$BA11,5,FALSE)</f>
        <v>1</v>
      </c>
      <c r="CM9" s="16">
        <f>VLOOKUP($CH9,$AS8:$BA11,6,FALSE)</f>
        <v>4</v>
      </c>
      <c r="CN9" s="16">
        <f>VLOOKUP($CH9,$AS8:$BA11,7,FALSE)</f>
        <v>6</v>
      </c>
      <c r="CO9" s="16">
        <f>VLOOKUP($CH9,$AS8:$BA11,8,FALSE)</f>
        <v>-2</v>
      </c>
      <c r="CP9" s="16">
        <f>VLOOKUP($CH9,$AS8:$BA11,9,FALSE)</f>
        <v>4</v>
      </c>
      <c r="CR9" s="21" t="e">
        <f>#REF!</f>
        <v>#REF!</v>
      </c>
    </row>
    <row r="10" spans="1:133" ht="9.75" customHeight="1" thickBot="1" x14ac:dyDescent="0.25">
      <c r="A10" s="246" t="s">
        <v>85</v>
      </c>
      <c r="B10" s="339"/>
      <c r="C10" s="339"/>
      <c r="D10" s="124" t="s">
        <v>86</v>
      </c>
      <c r="E10" s="124"/>
      <c r="F10" s="124"/>
      <c r="G10" s="124"/>
      <c r="H10" s="124"/>
      <c r="I10" s="515" t="s">
        <v>15</v>
      </c>
      <c r="J10" s="515"/>
      <c r="K10" s="515"/>
      <c r="L10" s="526"/>
      <c r="M10" s="526"/>
      <c r="N10" s="526"/>
      <c r="O10" s="526"/>
      <c r="P10" s="527"/>
      <c r="R10" s="246" t="s">
        <v>85</v>
      </c>
      <c r="S10" s="339"/>
      <c r="T10" s="339"/>
      <c r="U10" s="124" t="s">
        <v>86</v>
      </c>
      <c r="V10" s="124"/>
      <c r="W10" s="124"/>
      <c r="X10" s="124"/>
      <c r="Y10" s="124"/>
      <c r="Z10" s="515" t="s">
        <v>15</v>
      </c>
      <c r="AA10" s="515"/>
      <c r="AB10" s="515"/>
      <c r="AC10" s="526"/>
      <c r="AD10" s="526"/>
      <c r="AE10" s="526"/>
      <c r="AF10" s="526"/>
      <c r="AG10" s="527"/>
      <c r="AH10" s="69" t="s">
        <v>142</v>
      </c>
      <c r="AI10" s="70" t="s">
        <v>143</v>
      </c>
      <c r="AJ10" s="70">
        <f>I43</f>
        <v>1</v>
      </c>
      <c r="AK10" s="232">
        <f>K43</f>
        <v>0</v>
      </c>
      <c r="AL10" s="73" t="s">
        <v>144</v>
      </c>
      <c r="AM10" s="50" t="s">
        <v>145</v>
      </c>
      <c r="AN10" s="44" t="s">
        <v>137</v>
      </c>
      <c r="AO10" s="45" t="str">
        <f t="shared" si="4"/>
        <v>Germany</v>
      </c>
      <c r="AP10" s="45" t="str">
        <f t="shared" si="5"/>
        <v>Saudi Arabia</v>
      </c>
      <c r="AQ10" s="45"/>
      <c r="AS10" s="16" t="str">
        <f>KWALIFICATIE!E7</f>
        <v>AccentSport Rakkers</v>
      </c>
      <c r="AT10" s="16">
        <f>COUNT(Uruguay_Played)</f>
        <v>3</v>
      </c>
      <c r="AU10" s="16">
        <f>COUNTIF(Groupstage_Winners,"Uruguay")</f>
        <v>1</v>
      </c>
      <c r="AV10" s="16">
        <f>COUNTIF(Groupstage_Losers,"Uruguay")</f>
        <v>1</v>
      </c>
      <c r="AW10" s="16">
        <f>AT10-(AU10+AV10)</f>
        <v>1</v>
      </c>
      <c r="AX10" s="16">
        <f>SUM(Uruguay_Played)</f>
        <v>4</v>
      </c>
      <c r="AY10" s="16">
        <f>SUM(Uruguay_Against)</f>
        <v>6</v>
      </c>
      <c r="AZ10" s="16">
        <f>AX10-AY10</f>
        <v>-2</v>
      </c>
      <c r="BA10" s="16">
        <f t="shared" si="6"/>
        <v>4</v>
      </c>
      <c r="BB10" s="16" t="str">
        <f>IF($BA10&gt;=$BA11,$AS10,$AS11)</f>
        <v>AccentSport Rakkers</v>
      </c>
      <c r="BC10" s="16">
        <f>VLOOKUP($BB10,$AS8:$BA11,9,FALSE)</f>
        <v>4</v>
      </c>
      <c r="BD10" s="16" t="str">
        <f>IF($BC10&lt;=$BC8,$BB10,$BB8)</f>
        <v>AccentSport Rakkers</v>
      </c>
      <c r="BE10" s="16">
        <f>VLOOKUP($BD10,$AS8:$BA11,9,FALSE)</f>
        <v>4</v>
      </c>
      <c r="BF10" s="16" t="str">
        <f>IF($BE10&lt;=$BE9,$BD10,$BD9)</f>
        <v>Asvv de Schollevers</v>
      </c>
      <c r="BG10" s="16">
        <f>VLOOKUP($BF10,$AS8:$BA11,9,FALSE)</f>
        <v>3</v>
      </c>
      <c r="BH10" s="16">
        <f>VLOOKUP($BF10,$AS8:$BA11,8,FALSE)</f>
        <v>2</v>
      </c>
      <c r="BI10" s="16" t="str">
        <f>IF(AND($BG10=$BG11,$BH11&gt;$BH10),$BF11,$BF10)</f>
        <v>Asvv de Schollevers</v>
      </c>
      <c r="BJ10" s="16">
        <f>VLOOKUP($BI10,$AS8:$BA11,9,FALSE)</f>
        <v>3</v>
      </c>
      <c r="BK10" s="16">
        <f>VLOOKUP($BI10,$AS8:$BA11,8,FALSE)</f>
        <v>2</v>
      </c>
      <c r="BL10" s="16" t="str">
        <f>IF(AND($BJ8=$BJ10,$BK10&gt;$BK8),$BI8,$BI10)</f>
        <v>Asvv de Schollevers</v>
      </c>
      <c r="BM10" s="16">
        <f>VLOOKUP($BL10,$AS8:$BA11,9,FALSE)</f>
        <v>3</v>
      </c>
      <c r="BN10" s="16">
        <f>VLOOKUP($BL10,$AS8:$BA11,8,FALSE)</f>
        <v>2</v>
      </c>
      <c r="BO10" s="16" t="str">
        <f>IF(AND($BM9=$BM10,$BN10&gt;$BN9),$BL9,$BL10)</f>
        <v>Asvv de Schollevers</v>
      </c>
      <c r="BP10" s="16">
        <f>VLOOKUP($BO10,$AS8:$BA11,9,FALSE)</f>
        <v>3</v>
      </c>
      <c r="BQ10" s="16">
        <f>VLOOKUP($BO10,$AS8:$BA11,8,FALSE)</f>
        <v>2</v>
      </c>
      <c r="BR10" s="16">
        <f>VLOOKUP($BO10,$AS8:$BA11,6,FALSE)</f>
        <v>3</v>
      </c>
      <c r="BS10" s="16" t="str">
        <f>IF(AND($BP10=$BP11,$BQ10=$BQ11,$BR11&gt;$BR10),$BO11,$BO10)</f>
        <v>Asvv de Schollevers</v>
      </c>
      <c r="BT10" s="16">
        <f>VLOOKUP($BS10,$AS8:$BA11,9,FALSE)</f>
        <v>3</v>
      </c>
      <c r="BU10" s="16">
        <f>VLOOKUP($BS10,$AS8:$BA11,8,FALSE)</f>
        <v>2</v>
      </c>
      <c r="BV10" s="16">
        <f>VLOOKUP($BS10,$AS8:$BA11,6,FALSE)</f>
        <v>3</v>
      </c>
      <c r="BW10" s="16" t="str">
        <f>IF(AND($BT8=$BT10,$BU8=$BU10,$BV9&gt;$BV8),$BS8,$BS10)</f>
        <v>Asvv de Schollevers</v>
      </c>
      <c r="BX10" s="16">
        <f>VLOOKUP($BW10,$AS8:$BA11,9,FALSE)</f>
        <v>3</v>
      </c>
      <c r="BY10" s="16">
        <f>VLOOKUP($BW10,$AS8:$BA11,8,FALSE)</f>
        <v>2</v>
      </c>
      <c r="BZ10" s="16">
        <f>VLOOKUP($BW10,$AS8:$BA11,6,FALSE)</f>
        <v>3</v>
      </c>
      <c r="CA10" s="16" t="str">
        <f>IF(AND($BX9=$BX10,$BY9=$BY10,$BZ10&gt;$BZ9),$BW9,$BW10)</f>
        <v>Asvv de Schollevers</v>
      </c>
      <c r="CB10" s="16">
        <f>VLOOKUP($CA10,$AS8:$BA11,9,FALSE)</f>
        <v>3</v>
      </c>
      <c r="CC10" s="16">
        <f>VLOOKUP($CA10,$AS8:$BA11,8,FALSE)</f>
        <v>2</v>
      </c>
      <c r="CD10" s="16">
        <f>VLOOKUP($CA10,$AS8:$BA11,6,FALSE)</f>
        <v>3</v>
      </c>
      <c r="CH10" s="16" t="str">
        <f>CA10</f>
        <v>Asvv de Schollevers</v>
      </c>
      <c r="CI10" s="16">
        <f>VLOOKUP($CH10,$AS8:$BA11,2,FALSE)</f>
        <v>2</v>
      </c>
      <c r="CJ10" s="16">
        <f>VLOOKUP($CH10,$AS8:$BA11,3,FALSE)</f>
        <v>1</v>
      </c>
      <c r="CK10" s="16">
        <f>VLOOKUP($CH10,$AS8:$BA11,4,FALSE)</f>
        <v>1</v>
      </c>
      <c r="CL10" s="16">
        <f>VLOOKUP($CH10,$AS8:$BA11,5,FALSE)</f>
        <v>0</v>
      </c>
      <c r="CM10" s="16">
        <f>VLOOKUP($CH10,$AS8:$BA11,6,FALSE)</f>
        <v>3</v>
      </c>
      <c r="CN10" s="16">
        <f>VLOOKUP($CH10,$AS8:$BA11,7,FALSE)</f>
        <v>1</v>
      </c>
      <c r="CO10" s="16">
        <f>VLOOKUP($CH10,$AS8:$BA11,8,FALSE)</f>
        <v>2</v>
      </c>
      <c r="CP10" s="16">
        <f>VLOOKUP($CH10,$AS8:$BA11,9,FALSE)</f>
        <v>3</v>
      </c>
      <c r="CR10" s="21" t="e">
        <f>#REF!</f>
        <v>#REF!</v>
      </c>
    </row>
    <row r="11" spans="1:133" ht="12.95" customHeight="1" thickBot="1" x14ac:dyDescent="0.25">
      <c r="A11" s="520">
        <f>START!C2</f>
        <v>0.4375</v>
      </c>
      <c r="B11" s="518"/>
      <c r="C11" s="283"/>
      <c r="D11" s="337" t="str">
        <f>AS8</f>
        <v>De Torpedo's</v>
      </c>
      <c r="E11" s="283" t="s">
        <v>16</v>
      </c>
      <c r="F11" s="518" t="str">
        <f>AS9</f>
        <v>Asvv de Schollevers</v>
      </c>
      <c r="G11" s="518"/>
      <c r="H11" s="518"/>
      <c r="I11" s="165">
        <f>KWALIFICATIE!O28</f>
        <v>1</v>
      </c>
      <c r="J11" s="334" t="s">
        <v>16</v>
      </c>
      <c r="K11" s="166">
        <f>KWALIFICATIE!Q28</f>
        <v>0</v>
      </c>
      <c r="L11" s="518"/>
      <c r="M11" s="518"/>
      <c r="N11" s="518"/>
      <c r="O11" s="518"/>
      <c r="P11" s="519"/>
      <c r="Q11" s="29"/>
      <c r="R11" s="520">
        <f>START!C2</f>
        <v>0.4375</v>
      </c>
      <c r="S11" s="518"/>
      <c r="T11" s="283"/>
      <c r="U11" s="337" t="str">
        <f>AS15</f>
        <v>De Doofpot</v>
      </c>
      <c r="V11" s="283" t="s">
        <v>16</v>
      </c>
      <c r="W11" s="518" t="str">
        <f>AS16</f>
        <v>Fons Vitaeplein</v>
      </c>
      <c r="X11" s="518"/>
      <c r="Y11" s="518"/>
      <c r="Z11" s="165">
        <f>KWALIFICATIE!O30</f>
        <v>2</v>
      </c>
      <c r="AA11" s="334" t="s">
        <v>16</v>
      </c>
      <c r="AB11" s="166">
        <f>KWALIFICATIE!Q30</f>
        <v>1</v>
      </c>
      <c r="AC11" s="518"/>
      <c r="AD11" s="518"/>
      <c r="AE11" s="518"/>
      <c r="AF11" s="518"/>
      <c r="AG11" s="519"/>
      <c r="AH11" s="69" t="s">
        <v>146</v>
      </c>
      <c r="AI11" s="70" t="s">
        <v>147</v>
      </c>
      <c r="AJ11" s="70">
        <f>Z44</f>
        <v>0</v>
      </c>
      <c r="AK11" s="232">
        <f>AB44</f>
        <v>0</v>
      </c>
      <c r="AL11" s="73" t="s">
        <v>148</v>
      </c>
      <c r="AM11" s="50" t="s">
        <v>149</v>
      </c>
      <c r="AN11" s="44" t="s">
        <v>127</v>
      </c>
      <c r="AO11" s="45" t="str">
        <f t="shared" si="4"/>
        <v>Draw</v>
      </c>
      <c r="AP11" s="45" t="str">
        <f t="shared" si="5"/>
        <v>Draw</v>
      </c>
      <c r="AQ11" s="45"/>
      <c r="AS11" s="16" t="str">
        <f>KWALIFICATIE!E9</f>
        <v>Het Bestuur</v>
      </c>
      <c r="AT11" s="16">
        <f>COUNT(Denmark_Played)</f>
        <v>2</v>
      </c>
      <c r="AU11" s="16">
        <f>COUNTIF(Groupstage_Winners,"Denmark")</f>
        <v>1</v>
      </c>
      <c r="AV11" s="16">
        <f>COUNTIF(Groupstage_Losers,"Denmark")</f>
        <v>1</v>
      </c>
      <c r="AW11" s="16">
        <f>AT11-(AU11+AV11)</f>
        <v>0</v>
      </c>
      <c r="AX11" s="16">
        <f>SUM(Denmark_Played)</f>
        <v>2</v>
      </c>
      <c r="AY11" s="16">
        <f>SUM(Denmark_Against)</f>
        <v>2</v>
      </c>
      <c r="AZ11" s="16">
        <f>AX11-AY11</f>
        <v>0</v>
      </c>
      <c r="BA11" s="16">
        <f t="shared" si="6"/>
        <v>3</v>
      </c>
      <c r="BB11" s="16" t="str">
        <f>IF($BA11&lt;=$BA10,$AS11,$AS10)</f>
        <v>Het Bestuur</v>
      </c>
      <c r="BC11" s="16">
        <f>VLOOKUP($BB11,$AS8:$BA11,9,FALSE)</f>
        <v>3</v>
      </c>
      <c r="BD11" s="16" t="str">
        <f>IF(BC11&lt;=BC9,BB11,BB9)</f>
        <v>Het Bestuur</v>
      </c>
      <c r="BE11" s="16">
        <f>VLOOKUP($BD11,$AS8:$BA11,9,FALSE)</f>
        <v>3</v>
      </c>
      <c r="BF11" s="16" t="str">
        <f>IF($BE11&lt;=$BE8,$BD11,$BD8)</f>
        <v>Het Bestuur</v>
      </c>
      <c r="BG11" s="16">
        <f>VLOOKUP($BF11,$AS8:$BA11,9,FALSE)</f>
        <v>3</v>
      </c>
      <c r="BH11" s="16">
        <f>VLOOKUP($BF11,$AS8:$BA11,8,FALSE)</f>
        <v>0</v>
      </c>
      <c r="BI11" s="16" t="str">
        <f>IF(AND($BG10=$BG11,$BH11&gt;$BH10),$BF10,$BF11)</f>
        <v>Het Bestuur</v>
      </c>
      <c r="BJ11" s="16">
        <f>VLOOKUP($BI11,$AS8:$BA11,9,FALSE)</f>
        <v>3</v>
      </c>
      <c r="BK11" s="16">
        <f>VLOOKUP($BI11,$AS8:$BA11,8,FALSE)</f>
        <v>0</v>
      </c>
      <c r="BL11" s="16" t="str">
        <f>IF(AND($BJ9=$BJ11,$BK11&gt;$BK9),$BI9,$BI11)</f>
        <v>Het Bestuur</v>
      </c>
      <c r="BM11" s="16">
        <f>VLOOKUP($BL11,$AS8:$BA11,9,FALSE)</f>
        <v>3</v>
      </c>
      <c r="BN11" s="16">
        <f>VLOOKUP($BL11,$AS8:$BA11,8,FALSE)</f>
        <v>0</v>
      </c>
      <c r="BO11" s="16" t="str">
        <f>IF(AND($BM8=$BM11,$BN11&gt;$BN8),$BL8,$BL11)</f>
        <v>Het Bestuur</v>
      </c>
      <c r="BP11" s="16">
        <f>VLOOKUP($BO11,$AS8:$BA11,9,FALSE)</f>
        <v>3</v>
      </c>
      <c r="BQ11" s="16">
        <f>VLOOKUP($BO11,$AS8:$BA11,8,FALSE)</f>
        <v>0</v>
      </c>
      <c r="BR11" s="16">
        <f>VLOOKUP($BO11,$AS8:$BA11,6,FALSE)</f>
        <v>2</v>
      </c>
      <c r="BS11" s="16" t="str">
        <f>IF(AND($BP10=$BP11,$BQ10=$BQ11,$BR11&gt;$BR10),$BO10,$BO11)</f>
        <v>Het Bestuur</v>
      </c>
      <c r="BT11" s="16">
        <f>VLOOKUP($BS11,$AS8:$BA11,9,FALSE)</f>
        <v>3</v>
      </c>
      <c r="BU11" s="16">
        <f>VLOOKUP($BS11,$AS8:$BA11,8,FALSE)</f>
        <v>0</v>
      </c>
      <c r="BV11" s="16">
        <f>VLOOKUP($BS11,$AS8:$BA11,6,FALSE)</f>
        <v>2</v>
      </c>
      <c r="BW11" s="16" t="str">
        <f>IF(AND($BT9=$BT11,$BU9=$BU11,$BV11&gt;$BV9),$BS9,$BS11)</f>
        <v>Het Bestuur</v>
      </c>
      <c r="BX11" s="16">
        <f>VLOOKUP($BW11,$AS8:$BA11,9,FALSE)</f>
        <v>3</v>
      </c>
      <c r="BY11" s="16">
        <f>VLOOKUP($BW11,$AS8:$BA11,8,FALSE)</f>
        <v>0</v>
      </c>
      <c r="BZ11" s="16">
        <f>VLOOKUP($BW11,$AS8:$BA11,6,FALSE)</f>
        <v>2</v>
      </c>
      <c r="CA11" s="16" t="str">
        <f>IF(AND($BX8=$BX11,$BY8=$BY11,$BZ11&gt;$BZ8),$BW8,$BW11)</f>
        <v>Het Bestuur</v>
      </c>
      <c r="CB11" s="16">
        <f>VLOOKUP($CA11,$AS8:$BA11,9,FALSE)</f>
        <v>3</v>
      </c>
      <c r="CC11" s="16">
        <f>VLOOKUP($CA11,$AS8:$BA11,8,FALSE)</f>
        <v>0</v>
      </c>
      <c r="CD11" s="16">
        <f>VLOOKUP($CA11,$AS8:$BA11,6,FALSE)</f>
        <v>2</v>
      </c>
      <c r="CH11" s="16" t="str">
        <f>CA11</f>
        <v>Het Bestuur</v>
      </c>
      <c r="CI11" s="16">
        <f>VLOOKUP($CH11,$AS8:$BA11,2,FALSE)</f>
        <v>2</v>
      </c>
      <c r="CJ11" s="16">
        <f>VLOOKUP($CH11,$AS8:$BA11,3,FALSE)</f>
        <v>1</v>
      </c>
      <c r="CK11" s="16">
        <f>VLOOKUP($CH11,$AS8:$BA11,4,FALSE)</f>
        <v>1</v>
      </c>
      <c r="CL11" s="16">
        <f>VLOOKUP($CH11,$AS8:$BA11,5,FALSE)</f>
        <v>0</v>
      </c>
      <c r="CM11" s="16">
        <f>VLOOKUP($CH11,$AS8:$BA11,6,FALSE)</f>
        <v>2</v>
      </c>
      <c r="CN11" s="16">
        <f>VLOOKUP($CH11,$AS8:$BA11,7,FALSE)</f>
        <v>2</v>
      </c>
      <c r="CO11" s="16">
        <f>VLOOKUP($CH11,$AS8:$BA11,8,FALSE)</f>
        <v>0</v>
      </c>
      <c r="CP11" s="16">
        <f>VLOOKUP($CH11,$AS8:$BA11,9,FALSE)</f>
        <v>3</v>
      </c>
      <c r="CR11" s="21" t="e">
        <f>#REF!</f>
        <v>#REF!</v>
      </c>
    </row>
    <row r="12" spans="1:133" ht="12.95" customHeight="1" thickBot="1" x14ac:dyDescent="0.25">
      <c r="A12" s="520">
        <f>START!C2</f>
        <v>0.4375</v>
      </c>
      <c r="B12" s="518"/>
      <c r="C12" s="283"/>
      <c r="D12" s="24" t="str">
        <f>AS10</f>
        <v>AccentSport Rakkers</v>
      </c>
      <c r="E12" s="283" t="s">
        <v>16</v>
      </c>
      <c r="F12" s="518" t="str">
        <f>AS11</f>
        <v>Het Bestuur</v>
      </c>
      <c r="G12" s="518"/>
      <c r="H12" s="518"/>
      <c r="I12" s="165">
        <f>KWALIFICATIE!O29</f>
        <v>2</v>
      </c>
      <c r="J12" s="334" t="s">
        <v>16</v>
      </c>
      <c r="K12" s="166">
        <f>KWALIFICATIE!Q29</f>
        <v>1</v>
      </c>
      <c r="L12" s="518"/>
      <c r="M12" s="518"/>
      <c r="N12" s="518"/>
      <c r="O12" s="518"/>
      <c r="P12" s="519"/>
      <c r="Q12" s="29"/>
      <c r="R12" s="520">
        <f>START!C2</f>
        <v>0.4375</v>
      </c>
      <c r="S12" s="518"/>
      <c r="T12" s="283"/>
      <c r="U12" s="24" t="str">
        <f>AS17</f>
        <v>De Flitsers 3</v>
      </c>
      <c r="V12" s="283" t="s">
        <v>16</v>
      </c>
      <c r="W12" s="518" t="str">
        <f>AS18</f>
        <v>Vrienden van Van Essen</v>
      </c>
      <c r="X12" s="518"/>
      <c r="Y12" s="518"/>
      <c r="Z12" s="165">
        <f>KWALIFICATIE!O31</f>
        <v>2</v>
      </c>
      <c r="AA12" s="334" t="s">
        <v>16</v>
      </c>
      <c r="AB12" s="166">
        <f>KWALIFICATIE!Q31</f>
        <v>0</v>
      </c>
      <c r="AC12" s="518"/>
      <c r="AD12" s="518"/>
      <c r="AE12" s="518"/>
      <c r="AF12" s="518"/>
      <c r="AG12" s="519"/>
      <c r="AH12" s="69" t="s">
        <v>150</v>
      </c>
      <c r="AI12" s="70" t="s">
        <v>151</v>
      </c>
      <c r="AJ12" s="70">
        <f>Z12</f>
        <v>2</v>
      </c>
      <c r="AK12" s="232">
        <f>AB12</f>
        <v>0</v>
      </c>
      <c r="AL12" s="73" t="s">
        <v>152</v>
      </c>
      <c r="AM12" s="50" t="s">
        <v>153</v>
      </c>
      <c r="AN12" s="44" t="s">
        <v>154</v>
      </c>
      <c r="AO12" s="45" t="str">
        <f t="shared" si="4"/>
        <v>Paraguay</v>
      </c>
      <c r="AP12" s="45" t="str">
        <f t="shared" si="5"/>
        <v>South Africa</v>
      </c>
      <c r="AQ12" s="45"/>
      <c r="CR12" s="21" t="e">
        <f>#REF!</f>
        <v>#REF!</v>
      </c>
    </row>
    <row r="13" spans="1:133" ht="12.95" customHeight="1" thickBot="1" x14ac:dyDescent="0.25">
      <c r="A13" s="520">
        <f>START!C5</f>
        <v>0.46875</v>
      </c>
      <c r="B13" s="518"/>
      <c r="C13" s="283"/>
      <c r="D13" s="24" t="str">
        <f>AS8</f>
        <v>De Torpedo's</v>
      </c>
      <c r="E13" s="283" t="s">
        <v>16</v>
      </c>
      <c r="F13" s="518" t="str">
        <f>AS10</f>
        <v>AccentSport Rakkers</v>
      </c>
      <c r="G13" s="518"/>
      <c r="H13" s="518"/>
      <c r="I13" s="165">
        <f>KWALIFICATIE!O48</f>
        <v>2</v>
      </c>
      <c r="J13" s="334" t="s">
        <v>16</v>
      </c>
      <c r="K13" s="166">
        <f>KWALIFICATIE!Q48</f>
        <v>2</v>
      </c>
      <c r="L13" s="518"/>
      <c r="M13" s="518"/>
      <c r="N13" s="518"/>
      <c r="O13" s="518"/>
      <c r="P13" s="519"/>
      <c r="R13" s="520">
        <f>START!C5</f>
        <v>0.46875</v>
      </c>
      <c r="S13" s="518"/>
      <c r="T13" s="283"/>
      <c r="U13" s="24" t="str">
        <f>AS15</f>
        <v>De Doofpot</v>
      </c>
      <c r="V13" s="283" t="s">
        <v>16</v>
      </c>
      <c r="W13" s="518" t="str">
        <f>AS17</f>
        <v>De Flitsers 3</v>
      </c>
      <c r="X13" s="518"/>
      <c r="Y13" s="518"/>
      <c r="Z13" s="165">
        <f>KWALIFICATIE!O54</f>
        <v>2</v>
      </c>
      <c r="AA13" s="334" t="s">
        <v>16</v>
      </c>
      <c r="AB13" s="166">
        <f>KWALIFICATIE!Q54</f>
        <v>0</v>
      </c>
      <c r="AC13" s="518"/>
      <c r="AD13" s="518"/>
      <c r="AE13" s="518"/>
      <c r="AF13" s="518"/>
      <c r="AG13" s="519"/>
      <c r="AH13" s="69" t="s">
        <v>155</v>
      </c>
      <c r="AI13" s="70" t="s">
        <v>156</v>
      </c>
      <c r="AJ13" s="70">
        <f>Z43</f>
        <v>2</v>
      </c>
      <c r="AK13" s="232">
        <f>AB43</f>
        <v>0</v>
      </c>
      <c r="AL13" s="73" t="s">
        <v>157</v>
      </c>
      <c r="AM13" s="50" t="s">
        <v>158</v>
      </c>
      <c r="AN13" s="44" t="s">
        <v>127</v>
      </c>
      <c r="AO13" s="45" t="str">
        <f t="shared" si="4"/>
        <v>Argentina</v>
      </c>
      <c r="AP13" s="45" t="str">
        <f t="shared" si="5"/>
        <v>Nigeria</v>
      </c>
      <c r="AQ13" s="45"/>
      <c r="AS13" s="16" t="s">
        <v>159</v>
      </c>
      <c r="CR13" s="21" t="e">
        <f>#REF!</f>
        <v>#REF!</v>
      </c>
      <c r="EC13" s="337"/>
    </row>
    <row r="14" spans="1:133" ht="12.95" customHeight="1" thickBot="1" x14ac:dyDescent="0.25">
      <c r="A14" s="520">
        <f>A13</f>
        <v>0.46875</v>
      </c>
      <c r="B14" s="518"/>
      <c r="C14" s="283"/>
      <c r="D14" s="24" t="str">
        <f>AS11</f>
        <v>Het Bestuur</v>
      </c>
      <c r="E14" s="283" t="s">
        <v>16</v>
      </c>
      <c r="F14" s="518" t="str">
        <f>AS9</f>
        <v>Asvv de Schollevers</v>
      </c>
      <c r="G14" s="518"/>
      <c r="H14" s="518"/>
      <c r="I14" s="165" t="str">
        <f>KWALIFICATIE!AQ63</f>
        <v>…</v>
      </c>
      <c r="J14" s="334" t="s">
        <v>16</v>
      </c>
      <c r="K14" s="166" t="str">
        <f>KWALIFICATIE!AS63</f>
        <v>…</v>
      </c>
      <c r="L14" s="518"/>
      <c r="M14" s="518"/>
      <c r="N14" s="518"/>
      <c r="O14" s="518"/>
      <c r="P14" s="519"/>
      <c r="R14" s="520">
        <f>R13</f>
        <v>0.46875</v>
      </c>
      <c r="S14" s="518"/>
      <c r="T14" s="283"/>
      <c r="U14" s="24" t="str">
        <f>AS18</f>
        <v>Vrienden van Van Essen</v>
      </c>
      <c r="V14" s="283" t="s">
        <v>16</v>
      </c>
      <c r="W14" s="518" t="str">
        <f>AS16</f>
        <v>Fons Vitaeplein</v>
      </c>
      <c r="X14" s="518"/>
      <c r="Y14" s="518"/>
      <c r="Z14" s="165" t="str">
        <f>KWALIFICATIE!AQ65</f>
        <v>…</v>
      </c>
      <c r="AA14" s="334" t="s">
        <v>16</v>
      </c>
      <c r="AB14" s="166" t="str">
        <f>KWALIFICATIE!AS65</f>
        <v>…</v>
      </c>
      <c r="AC14" s="518"/>
      <c r="AD14" s="518"/>
      <c r="AE14" s="518"/>
      <c r="AF14" s="518"/>
      <c r="AG14" s="519"/>
      <c r="AH14" s="69" t="s">
        <v>160</v>
      </c>
      <c r="AI14" s="70" t="s">
        <v>161</v>
      </c>
      <c r="AJ14" s="70">
        <f>Z11</f>
        <v>2</v>
      </c>
      <c r="AK14" s="232">
        <f>AB11</f>
        <v>1</v>
      </c>
      <c r="AL14" s="73" t="s">
        <v>162</v>
      </c>
      <c r="AM14" s="50" t="s">
        <v>163</v>
      </c>
      <c r="AN14" s="44" t="s">
        <v>154</v>
      </c>
      <c r="AO14" s="45" t="str">
        <f t="shared" si="4"/>
        <v>Spain</v>
      </c>
      <c r="AP14" s="45" t="str">
        <f t="shared" si="5"/>
        <v>Slovenia</v>
      </c>
      <c r="AQ14" s="45"/>
      <c r="AT14" s="16" t="s">
        <v>124</v>
      </c>
      <c r="AU14" s="16" t="s">
        <v>110</v>
      </c>
      <c r="AV14" s="16" t="s">
        <v>125</v>
      </c>
      <c r="AW14" s="16" t="s">
        <v>126</v>
      </c>
      <c r="AX14" s="16" t="s">
        <v>127</v>
      </c>
      <c r="AY14" s="16" t="s">
        <v>123</v>
      </c>
      <c r="AZ14" s="16" t="s">
        <v>128</v>
      </c>
      <c r="BA14" s="16" t="s">
        <v>129</v>
      </c>
      <c r="CR14" s="21" t="e">
        <f>#REF!</f>
        <v>#REF!</v>
      </c>
    </row>
    <row r="15" spans="1:133" ht="12.95" customHeight="1" thickBot="1" x14ac:dyDescent="0.25">
      <c r="A15" s="520">
        <f>START!C8</f>
        <v>0.5</v>
      </c>
      <c r="B15" s="518"/>
      <c r="C15" s="283"/>
      <c r="D15" s="24" t="str">
        <f>AS9</f>
        <v>Asvv de Schollevers</v>
      </c>
      <c r="E15" s="283" t="s">
        <v>16</v>
      </c>
      <c r="F15" s="518" t="str">
        <f>AS10</f>
        <v>AccentSport Rakkers</v>
      </c>
      <c r="G15" s="518"/>
      <c r="H15" s="518"/>
      <c r="I15" s="165">
        <f>KWALIFICATIE!AD60</f>
        <v>3</v>
      </c>
      <c r="J15" s="334" t="s">
        <v>16</v>
      </c>
      <c r="K15" s="166">
        <f>KWALIFICATIE!AF60</f>
        <v>0</v>
      </c>
      <c r="L15" s="518"/>
      <c r="M15" s="518"/>
      <c r="N15" s="518"/>
      <c r="O15" s="518"/>
      <c r="P15" s="519"/>
      <c r="R15" s="520">
        <f>START!C9</f>
        <v>0.51041666666666663</v>
      </c>
      <c r="S15" s="518"/>
      <c r="T15" s="283"/>
      <c r="U15" s="24" t="str">
        <f>AS16</f>
        <v>Fons Vitaeplein</v>
      </c>
      <c r="V15" s="283" t="s">
        <v>16</v>
      </c>
      <c r="W15" s="518" t="str">
        <f>AS17</f>
        <v>De Flitsers 3</v>
      </c>
      <c r="X15" s="518"/>
      <c r="Y15" s="518"/>
      <c r="Z15" s="165">
        <f>KWALIFICATIE!AD62</f>
        <v>1</v>
      </c>
      <c r="AA15" s="334" t="s">
        <v>16</v>
      </c>
      <c r="AB15" s="166">
        <f>KWALIFICATIE!AF62</f>
        <v>0</v>
      </c>
      <c r="AC15" s="518"/>
      <c r="AD15" s="518"/>
      <c r="AE15" s="518"/>
      <c r="AF15" s="518"/>
      <c r="AG15" s="519"/>
      <c r="AH15" s="69" t="s">
        <v>164</v>
      </c>
      <c r="AI15" s="70" t="s">
        <v>165</v>
      </c>
      <c r="AJ15" s="70">
        <f>I59</f>
        <v>2</v>
      </c>
      <c r="AK15" s="232">
        <f>K59</f>
        <v>2</v>
      </c>
      <c r="AL15" s="73" t="s">
        <v>166</v>
      </c>
      <c r="AM15" s="50" t="s">
        <v>167</v>
      </c>
      <c r="AN15" s="44" t="s">
        <v>111</v>
      </c>
      <c r="AO15" s="45" t="str">
        <f t="shared" si="4"/>
        <v>Draw</v>
      </c>
      <c r="AP15" s="45" t="str">
        <f t="shared" si="5"/>
        <v>Draw</v>
      </c>
      <c r="AQ15" s="45"/>
      <c r="AS15" s="16" t="str">
        <f>KWALIFICATIE!L5</f>
        <v>De Doofpot</v>
      </c>
      <c r="AT15" s="16">
        <f>COUNT(Spain_Played)</f>
        <v>3</v>
      </c>
      <c r="AU15" s="16">
        <f>COUNTIF(Groupstage_Winners,"Spain")</f>
        <v>2</v>
      </c>
      <c r="AV15" s="16">
        <f>COUNTIF(Groupstage_Losers,"Spain")</f>
        <v>1</v>
      </c>
      <c r="AW15" s="16">
        <f>AT15-(AU15+AV15)</f>
        <v>0</v>
      </c>
      <c r="AX15" s="16">
        <f>SUM(Spain_Played)</f>
        <v>5</v>
      </c>
      <c r="AY15" s="16">
        <f>SUM(Spain_Against)</f>
        <v>3</v>
      </c>
      <c r="AZ15" s="16">
        <f>AX15-AY15</f>
        <v>2</v>
      </c>
      <c r="BA15" s="16">
        <f>SUM((AU15*3)+(AW15*1))</f>
        <v>6</v>
      </c>
      <c r="BB15" s="16" t="str">
        <f>IF($BA15&gt;=$BA16,$AS15,$AS16)</f>
        <v>De Doofpot</v>
      </c>
      <c r="BC15" s="16">
        <f>VLOOKUP($BB15,$AS15:$BA18,9,FALSE)</f>
        <v>6</v>
      </c>
      <c r="BD15" s="16" t="str">
        <f>IF($BC15&gt;=$BC17,$BB15,$BB17)</f>
        <v>De Doofpot</v>
      </c>
      <c r="BE15" s="16">
        <f>VLOOKUP($BD15,$AS15:$BA18,9,FALSE)</f>
        <v>6</v>
      </c>
      <c r="BF15" s="16" t="str">
        <f>IF($BE15&gt;=$BE18,$BD15,$BD18)</f>
        <v>De Doofpot</v>
      </c>
      <c r="BG15" s="16">
        <f>VLOOKUP($BF15,$AS15:$BA18,9,FALSE)</f>
        <v>6</v>
      </c>
      <c r="BH15" s="16">
        <f>VLOOKUP($BF15,$AS15:$BA18,8,FALSE)</f>
        <v>2</v>
      </c>
      <c r="BI15" s="16" t="str">
        <f>IF(AND($BG15=$BG16,$BH16&gt;$BH15),$BF16,$BF15)</f>
        <v>De Doofpot</v>
      </c>
      <c r="BJ15" s="16">
        <f>VLOOKUP($BI15,$AS15:$BA18,9,FALSE)</f>
        <v>6</v>
      </c>
      <c r="BK15" s="16">
        <f>VLOOKUP($BI15,$AS15:$BA18,8,FALSE)</f>
        <v>2</v>
      </c>
      <c r="BL15" s="16" t="str">
        <f>IF(AND($BJ15=$BJ17,$BK17&gt;$BK15),$BI17,$BI15)</f>
        <v>De Doofpot</v>
      </c>
      <c r="BM15" s="16">
        <f>VLOOKUP($BL15,$AS15:$BA18,9,FALSE)</f>
        <v>6</v>
      </c>
      <c r="BN15" s="16">
        <f>VLOOKUP($BL15,$AS15:$BA18,8,FALSE)</f>
        <v>2</v>
      </c>
      <c r="BO15" s="16" t="str">
        <f>IF(AND($BM15=$BM18,$BN18&gt;$BN15),$BL18,$BL15)</f>
        <v>De Doofpot</v>
      </c>
      <c r="BP15" s="16">
        <f>VLOOKUP($BO15,$AS15:$BA18,9,FALSE)</f>
        <v>6</v>
      </c>
      <c r="BQ15" s="16">
        <f>VLOOKUP($BO15,$AS15:$BA18,8,FALSE)</f>
        <v>2</v>
      </c>
      <c r="BR15" s="16">
        <f>VLOOKUP($BO15,$AS15:$BA18,6,FALSE)</f>
        <v>5</v>
      </c>
      <c r="BS15" s="16" t="str">
        <f>IF(AND($BP15=$BP16,$BQ15=$BQ16,$BR16&gt;$BR15),$BO16,$BO15)</f>
        <v>De Doofpot</v>
      </c>
      <c r="BT15" s="16">
        <f>VLOOKUP($BS15,$AS15:$BA18,9,FALSE)</f>
        <v>6</v>
      </c>
      <c r="BU15" s="16">
        <f>VLOOKUP($BS15,$AS15:$BA18,8,FALSE)</f>
        <v>2</v>
      </c>
      <c r="BV15" s="16">
        <f>VLOOKUP($BS15,$AS15:$BA18,6,FALSE)</f>
        <v>5</v>
      </c>
      <c r="BW15" s="16" t="str">
        <f>IF(AND($BT15=$BT17,$BU15=$BU17,$BV17&gt;$BV15),$BS17,$BS15)</f>
        <v>De Doofpot</v>
      </c>
      <c r="BX15" s="16">
        <f>VLOOKUP($BW15,$AS15:$BA18,9,FALSE)</f>
        <v>6</v>
      </c>
      <c r="BY15" s="16">
        <f>VLOOKUP($BW15,$AS15:$BA18,8,FALSE)</f>
        <v>2</v>
      </c>
      <c r="BZ15" s="16">
        <f>VLOOKUP($BW15,$AS15:$BA18,6,FALSE)</f>
        <v>5</v>
      </c>
      <c r="CA15" s="16" t="str">
        <f>IF(AND($BX15=$BX18,$BY15=$BY18,$BZ18&gt;$BZ15),$BW18,$BW15)</f>
        <v>De Doofpot</v>
      </c>
      <c r="CB15" s="16">
        <f>VLOOKUP($CA15,$AS15:$BA18,9,FALSE)</f>
        <v>6</v>
      </c>
      <c r="CC15" s="16">
        <f>VLOOKUP($CA15,$AS15:$BA18,8,FALSE)</f>
        <v>2</v>
      </c>
      <c r="CD15" s="16">
        <f>VLOOKUP($CA15,$AS15:$BA18,6,FALSE)</f>
        <v>5</v>
      </c>
      <c r="CH15" s="16" t="str">
        <f>CA15</f>
        <v>De Doofpot</v>
      </c>
      <c r="CI15" s="16">
        <f>VLOOKUP($CH15,$AS15:$BA18,2,FALSE)</f>
        <v>3</v>
      </c>
      <c r="CJ15" s="16">
        <f>VLOOKUP($CH15,$AS15:$BA18,3,FALSE)</f>
        <v>2</v>
      </c>
      <c r="CK15" s="16">
        <f>VLOOKUP($CH15,$AS15:$BA18,4,FALSE)</f>
        <v>1</v>
      </c>
      <c r="CL15" s="16">
        <f>VLOOKUP($CH15,$AS15:$BA18,5,FALSE)</f>
        <v>0</v>
      </c>
      <c r="CM15" s="16">
        <f>VLOOKUP($CH15,$AS15:$BA18,6,FALSE)</f>
        <v>5</v>
      </c>
      <c r="CN15" s="16">
        <f>VLOOKUP($CH15,$AS15:$BA18,7,FALSE)</f>
        <v>3</v>
      </c>
      <c r="CO15" s="16">
        <f>VLOOKUP($CH15,$AS15:$BA18,8,FALSE)</f>
        <v>2</v>
      </c>
      <c r="CP15" s="16">
        <f>VLOOKUP($CH15,$AS15:$BA18,9,FALSE)</f>
        <v>6</v>
      </c>
      <c r="CR15" s="21" t="e">
        <f>#REF!</f>
        <v>#REF!</v>
      </c>
    </row>
    <row r="16" spans="1:133" ht="12.95" customHeight="1" thickBot="1" x14ac:dyDescent="0.25">
      <c r="A16" s="528">
        <f>A15</f>
        <v>0.5</v>
      </c>
      <c r="B16" s="529"/>
      <c r="C16" s="272"/>
      <c r="D16" s="30" t="str">
        <f>AS11</f>
        <v>Het Bestuur</v>
      </c>
      <c r="E16" s="272" t="s">
        <v>16</v>
      </c>
      <c r="F16" s="529" t="str">
        <f>AS8</f>
        <v>De Torpedo's</v>
      </c>
      <c r="G16" s="529"/>
      <c r="H16" s="529"/>
      <c r="I16" s="248">
        <f>KWALIFICATIE!AD61</f>
        <v>1</v>
      </c>
      <c r="J16" s="247" t="s">
        <v>16</v>
      </c>
      <c r="K16" s="249">
        <f>KWALIFICATIE!AF61</f>
        <v>0</v>
      </c>
      <c r="L16" s="529"/>
      <c r="M16" s="529"/>
      <c r="N16" s="529"/>
      <c r="O16" s="529"/>
      <c r="P16" s="530"/>
      <c r="R16" s="528">
        <f>R15</f>
        <v>0.51041666666666663</v>
      </c>
      <c r="S16" s="529"/>
      <c r="T16" s="272"/>
      <c r="U16" s="30" t="str">
        <f>AS18</f>
        <v>Vrienden van Van Essen</v>
      </c>
      <c r="V16" s="272" t="s">
        <v>16</v>
      </c>
      <c r="W16" s="529" t="str">
        <f>AS15</f>
        <v>De Doofpot</v>
      </c>
      <c r="X16" s="529"/>
      <c r="Y16" s="529"/>
      <c r="Z16" s="248">
        <f>KWALIFICATIE!AD63</f>
        <v>2</v>
      </c>
      <c r="AA16" s="247" t="s">
        <v>16</v>
      </c>
      <c r="AB16" s="249">
        <f>KWALIFICATIE!AF63</f>
        <v>1</v>
      </c>
      <c r="AC16" s="529"/>
      <c r="AD16" s="529"/>
      <c r="AE16" s="529"/>
      <c r="AF16" s="529"/>
      <c r="AG16" s="530"/>
      <c r="AH16" s="69" t="s">
        <v>168</v>
      </c>
      <c r="AI16" s="70" t="s">
        <v>169</v>
      </c>
      <c r="AJ16" s="70">
        <f>I26</f>
        <v>2</v>
      </c>
      <c r="AK16" s="232">
        <f>K26</f>
        <v>0</v>
      </c>
      <c r="AL16" s="73" t="s">
        <v>170</v>
      </c>
      <c r="AM16" s="50" t="s">
        <v>171</v>
      </c>
      <c r="AN16" s="44" t="s">
        <v>172</v>
      </c>
      <c r="AO16" s="45" t="str">
        <f t="shared" si="4"/>
        <v>Brazil</v>
      </c>
      <c r="AP16" s="45" t="str">
        <f t="shared" si="5"/>
        <v>Turkey</v>
      </c>
      <c r="AQ16" s="45"/>
      <c r="AS16" s="16" t="str">
        <f>KWALIFICATIE!L6</f>
        <v>Fons Vitaeplein</v>
      </c>
      <c r="AT16" s="16">
        <f>COUNT(Slovenia_Played)</f>
        <v>2</v>
      </c>
      <c r="AU16" s="16">
        <f>COUNTIF(Groupstage_Winners,"Slovenia")</f>
        <v>1</v>
      </c>
      <c r="AV16" s="16">
        <f>COUNTIF(Groupstage_Losers,"Slovenia")</f>
        <v>1</v>
      </c>
      <c r="AW16" s="16">
        <f>AT16-(AU16+AV16)</f>
        <v>0</v>
      </c>
      <c r="AX16" s="16">
        <f>SUM(Slovenia_Played)</f>
        <v>2</v>
      </c>
      <c r="AY16" s="16">
        <f>SUM(Slovenia_Against)</f>
        <v>2</v>
      </c>
      <c r="AZ16" s="16">
        <f>AX16-AY16</f>
        <v>0</v>
      </c>
      <c r="BA16" s="16">
        <f t="shared" ref="BA16:BA18" si="7">SUM((AU16*3)+(AW16*1))</f>
        <v>3</v>
      </c>
      <c r="BB16" s="16" t="str">
        <f>IF($BA16&lt;=$BA15,$AS16,$AS15)</f>
        <v>Fons Vitaeplein</v>
      </c>
      <c r="BC16" s="16">
        <f>VLOOKUP($BB16,$AS15:$BA18,9,FALSE)</f>
        <v>3</v>
      </c>
      <c r="BD16" s="16" t="str">
        <f>IF(BC16&gt;=BC18,BB16,BB18)</f>
        <v>Fons Vitaeplein</v>
      </c>
      <c r="BE16" s="16">
        <f>VLOOKUP($BD16,$AS15:$BA18,9,FALSE)</f>
        <v>3</v>
      </c>
      <c r="BF16" s="16" t="str">
        <f>IF($BE16&gt;=$BE17,$BD16,$BD17)</f>
        <v>Fons Vitaeplein</v>
      </c>
      <c r="BG16" s="16">
        <f>VLOOKUP($BF16,$AS15:$BA18,9,FALSE)</f>
        <v>3</v>
      </c>
      <c r="BH16" s="16">
        <f>VLOOKUP($BF16,$AS15:$BA18,8,FALSE)</f>
        <v>0</v>
      </c>
      <c r="BI16" s="16" t="str">
        <f>IF(AND($BG15=$BG16,$BH16&gt;$BH15),$BF15,$BF16)</f>
        <v>Fons Vitaeplein</v>
      </c>
      <c r="BJ16" s="16">
        <f>VLOOKUP($BI16,$AS15:$BA18,9,FALSE)</f>
        <v>3</v>
      </c>
      <c r="BK16" s="16">
        <f>VLOOKUP($BI16,$AS15:$BA18,8,FALSE)</f>
        <v>0</v>
      </c>
      <c r="BL16" s="16" t="str">
        <f>IF(AND($BJ16=$BJ18,$BK18&gt;$BK16),$BI18,$BI16)</f>
        <v>Fons Vitaeplein</v>
      </c>
      <c r="BM16" s="16">
        <f>VLOOKUP($BL16,$AS15:$BA18,9,FALSE)</f>
        <v>3</v>
      </c>
      <c r="BN16" s="16">
        <f>VLOOKUP($BL16,$AS15:$BA18,8,FALSE)</f>
        <v>0</v>
      </c>
      <c r="BO16" s="16" t="str">
        <f>IF(AND($BM16=$BM17,$BN17&gt;$BN16),$BL17,$BL16)</f>
        <v>Fons Vitaeplein</v>
      </c>
      <c r="BP16" s="16">
        <f>VLOOKUP($BO16,$AS15:$BA18,9,FALSE)</f>
        <v>3</v>
      </c>
      <c r="BQ16" s="16">
        <f>VLOOKUP($BO16,$AS15:$BA18,8,FALSE)</f>
        <v>0</v>
      </c>
      <c r="BR16" s="16">
        <f>VLOOKUP($BO16,$AS15:$BA18,6,FALSE)</f>
        <v>2</v>
      </c>
      <c r="BS16" s="16" t="str">
        <f>IF(AND($BP15=$BP16,$BQ15=$BQ16,$BR16&gt;$BR15),$BO15,$BO16)</f>
        <v>Fons Vitaeplein</v>
      </c>
      <c r="BT16" s="16">
        <f>VLOOKUP($BS16,$AS15:$BA18,9,FALSE)</f>
        <v>3</v>
      </c>
      <c r="BU16" s="16">
        <f>VLOOKUP($BS16,$AS15:$BA18,8,FALSE)</f>
        <v>0</v>
      </c>
      <c r="BV16" s="16">
        <f>VLOOKUP($BS16,$AS15:$BA18,6,FALSE)</f>
        <v>2</v>
      </c>
      <c r="BW16" s="16" t="str">
        <f>IF(AND($BT16=$BT18,$BU16=$BU18,$BV18&gt;$BV16),$BS18,$BS16)</f>
        <v>Fons Vitaeplein</v>
      </c>
      <c r="BX16" s="16">
        <f>VLOOKUP($BW16,$AS15:$BA18,9,FALSE)</f>
        <v>3</v>
      </c>
      <c r="BY16" s="16">
        <f>VLOOKUP($BW16,$AS15:$BA18,8,FALSE)</f>
        <v>0</v>
      </c>
      <c r="BZ16" s="16">
        <f>VLOOKUP($BW16,$AS15:$BA18,6,FALSE)</f>
        <v>2</v>
      </c>
      <c r="CA16" s="16" t="str">
        <f>IF(AND($BX16=$BX17,$BY16=$BY17,$BZ17&gt;$BZ16),$BW17,$BW16)</f>
        <v>Fons Vitaeplein</v>
      </c>
      <c r="CB16" s="16">
        <f>VLOOKUP($CA16,$AS15:$BA18,9,FALSE)</f>
        <v>3</v>
      </c>
      <c r="CC16" s="16">
        <f>VLOOKUP($CA16,$AS15:$BA18,8,FALSE)</f>
        <v>0</v>
      </c>
      <c r="CD16" s="16">
        <f>VLOOKUP($CA16,$AS15:$BA18,6,FALSE)</f>
        <v>2</v>
      </c>
      <c r="CH16" s="16" t="str">
        <f>CA16</f>
        <v>Fons Vitaeplein</v>
      </c>
      <c r="CI16" s="16">
        <f>VLOOKUP($CH16,$AS15:$BA18,2,FALSE)</f>
        <v>2</v>
      </c>
      <c r="CJ16" s="16">
        <f>VLOOKUP($CH16,$AS15:$BA18,3,FALSE)</f>
        <v>1</v>
      </c>
      <c r="CK16" s="16">
        <f>VLOOKUP($CH16,$AS15:$BA18,4,FALSE)</f>
        <v>1</v>
      </c>
      <c r="CL16" s="16">
        <f>VLOOKUP($CH16,$AS15:$BA18,5,FALSE)</f>
        <v>0</v>
      </c>
      <c r="CM16" s="16">
        <f>VLOOKUP($CH16,$AS15:$BA18,6,FALSE)</f>
        <v>2</v>
      </c>
      <c r="CN16" s="16">
        <f>VLOOKUP($CH16,$AS15:$BA18,7,FALSE)</f>
        <v>2</v>
      </c>
      <c r="CO16" s="16">
        <f>VLOOKUP($CH16,$AS15:$BA18,8,FALSE)</f>
        <v>0</v>
      </c>
      <c r="CP16" s="16">
        <f>VLOOKUP($CH16,$AS15:$BA18,9,FALSE)</f>
        <v>3</v>
      </c>
      <c r="CR16" s="21" t="e">
        <f>#REF!</f>
        <v>#REF!</v>
      </c>
    </row>
    <row r="17" spans="1:96" ht="13.5" thickBot="1" x14ac:dyDescent="0.25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83"/>
      <c r="AH17" s="69" t="s">
        <v>173</v>
      </c>
      <c r="AI17" s="70" t="s">
        <v>174</v>
      </c>
      <c r="AJ17" s="70">
        <f>I58</f>
        <v>0</v>
      </c>
      <c r="AK17" s="232">
        <f>K58</f>
        <v>1</v>
      </c>
      <c r="AL17" s="73" t="s">
        <v>175</v>
      </c>
      <c r="AM17" s="52" t="s">
        <v>176</v>
      </c>
      <c r="AN17" s="44" t="s">
        <v>111</v>
      </c>
      <c r="AO17" s="45" t="str">
        <f t="shared" si="4"/>
        <v>Ecuador</v>
      </c>
      <c r="AP17" s="45" t="str">
        <f t="shared" si="5"/>
        <v>Italy</v>
      </c>
      <c r="AQ17" s="45"/>
      <c r="AS17" s="16" t="str">
        <f>KWALIFICATIE!L7</f>
        <v>De Flitsers 3</v>
      </c>
      <c r="AT17" s="16">
        <f>COUNT(Paraguay_Played)</f>
        <v>3</v>
      </c>
      <c r="AU17" s="16">
        <f>COUNTIF(Groupstage_Winners,"Paraguay")</f>
        <v>1</v>
      </c>
      <c r="AV17" s="16">
        <f>COUNTIF(Groupstage_Losers,"Paraguay")</f>
        <v>2</v>
      </c>
      <c r="AW17" s="16">
        <f>AT17-(AU17+AV17)</f>
        <v>0</v>
      </c>
      <c r="AX17" s="16">
        <f>SUM(Paraguay_Played)</f>
        <v>2</v>
      </c>
      <c r="AY17" s="16">
        <f>SUM(Paraguay_Against)</f>
        <v>3</v>
      </c>
      <c r="AZ17" s="16">
        <f>AX17-AY17</f>
        <v>-1</v>
      </c>
      <c r="BA17" s="16">
        <f t="shared" si="7"/>
        <v>3</v>
      </c>
      <c r="BB17" s="16" t="str">
        <f>IF($BA17&gt;=$BA18,$AS17,$AS18)</f>
        <v>De Flitsers 3</v>
      </c>
      <c r="BC17" s="16">
        <f>VLOOKUP($BB17,$AS15:$BA18,9,FALSE)</f>
        <v>3</v>
      </c>
      <c r="BD17" s="16" t="str">
        <f>IF($BC17&lt;=$BC15,$BB17,$BB15)</f>
        <v>De Flitsers 3</v>
      </c>
      <c r="BE17" s="16">
        <f>VLOOKUP($BD17,$AS15:$BA18,9,FALSE)</f>
        <v>3</v>
      </c>
      <c r="BF17" s="16" t="str">
        <f>IF($BE17&lt;=$BE16,$BD17,$BD16)</f>
        <v>De Flitsers 3</v>
      </c>
      <c r="BG17" s="16">
        <f>VLOOKUP($BF17,$AS15:$BA18,9,FALSE)</f>
        <v>3</v>
      </c>
      <c r="BH17" s="16">
        <f>VLOOKUP($BF17,$AS15:$BA18,8,FALSE)</f>
        <v>-1</v>
      </c>
      <c r="BI17" s="16" t="str">
        <f>IF(AND($BG17=$BG18,$BH18&gt;$BH17),$BF18,$BF17)</f>
        <v>De Flitsers 3</v>
      </c>
      <c r="BJ17" s="16">
        <f>VLOOKUP($BI17,$AS15:$BA18,9,FALSE)</f>
        <v>3</v>
      </c>
      <c r="BK17" s="16">
        <f>VLOOKUP($BI17,$AS15:$BA18,8,FALSE)</f>
        <v>-1</v>
      </c>
      <c r="BL17" s="16" t="str">
        <f>IF(AND($BJ15=$BJ17,$BK17&gt;$BK15),$BI15,$BI17)</f>
        <v>De Flitsers 3</v>
      </c>
      <c r="BM17" s="16">
        <f>VLOOKUP($BL17,$AS15:$BA18,9,FALSE)</f>
        <v>3</v>
      </c>
      <c r="BN17" s="16">
        <f>VLOOKUP($BL17,$AS15:$BA18,8,FALSE)</f>
        <v>-1</v>
      </c>
      <c r="BO17" s="16" t="str">
        <f>IF(AND($BM16=$BM17,$BN17&gt;$BN16),$BL16,$BL17)</f>
        <v>De Flitsers 3</v>
      </c>
      <c r="BP17" s="16">
        <f>VLOOKUP($BO17,$AS15:$BA18,9,FALSE)</f>
        <v>3</v>
      </c>
      <c r="BQ17" s="16">
        <f>VLOOKUP($BO17,$AS15:$BA18,8,FALSE)</f>
        <v>-1</v>
      </c>
      <c r="BR17" s="16">
        <f>VLOOKUP($BO17,$AS15:$BA18,6,FALSE)</f>
        <v>2</v>
      </c>
      <c r="BS17" s="16" t="str">
        <f>IF(AND($BP17=$BP18,$BQ17=$BQ18,$BR18&gt;$BR17),$BO18,$BO17)</f>
        <v>De Flitsers 3</v>
      </c>
      <c r="BT17" s="16">
        <f>VLOOKUP($BS17,$AS15:$BA18,9,FALSE)</f>
        <v>3</v>
      </c>
      <c r="BU17" s="16">
        <f>VLOOKUP($BS17,$AS15:$BA18,8,FALSE)</f>
        <v>-1</v>
      </c>
      <c r="BV17" s="16">
        <f>VLOOKUP($BS17,$AS15:$BA18,6,FALSE)</f>
        <v>2</v>
      </c>
      <c r="BW17" s="16" t="str">
        <f>IF(AND($BT15=$BT17,$BU15=$BU17,$BV16&gt;$BV15),$BS15,$BS17)</f>
        <v>De Flitsers 3</v>
      </c>
      <c r="BX17" s="16">
        <f>VLOOKUP($BW17,$AS15:$BA18,9,FALSE)</f>
        <v>3</v>
      </c>
      <c r="BY17" s="16">
        <f>VLOOKUP($BW17,$AS15:$BA18,8,FALSE)</f>
        <v>-1</v>
      </c>
      <c r="BZ17" s="16">
        <f>VLOOKUP($BW17,$AS15:$BA18,6,FALSE)</f>
        <v>2</v>
      </c>
      <c r="CA17" s="16" t="str">
        <f>IF(AND($BX16=$BX17,$BY16=$BY17,$BZ17&gt;$BZ16),$BW16,$BW17)</f>
        <v>De Flitsers 3</v>
      </c>
      <c r="CB17" s="16">
        <f>VLOOKUP($CA17,$AS15:$BA18,9,FALSE)</f>
        <v>3</v>
      </c>
      <c r="CC17" s="16">
        <f>VLOOKUP($CA17,$AS15:$BA18,8,FALSE)</f>
        <v>-1</v>
      </c>
      <c r="CD17" s="16">
        <f>VLOOKUP($CA17,$AS15:$BA18,6,FALSE)</f>
        <v>2</v>
      </c>
      <c r="CH17" s="16" t="str">
        <f>CA17</f>
        <v>De Flitsers 3</v>
      </c>
      <c r="CI17" s="16">
        <f>VLOOKUP($CH17,$AS15:$BA18,2,FALSE)</f>
        <v>3</v>
      </c>
      <c r="CJ17" s="16">
        <f>VLOOKUP($CH17,$AS15:$BA18,3,FALSE)</f>
        <v>1</v>
      </c>
      <c r="CK17" s="16">
        <f>VLOOKUP($CH17,$AS15:$BA18,4,FALSE)</f>
        <v>2</v>
      </c>
      <c r="CL17" s="16">
        <f>VLOOKUP($CH17,$AS15:$BA18,5,FALSE)</f>
        <v>0</v>
      </c>
      <c r="CM17" s="16">
        <f>VLOOKUP($CH17,$AS15:$BA18,6,FALSE)</f>
        <v>2</v>
      </c>
      <c r="CN17" s="16">
        <f>VLOOKUP($CH17,$AS15:$BA18,7,FALSE)</f>
        <v>3</v>
      </c>
      <c r="CO17" s="16">
        <f>VLOOKUP($CH17,$AS15:$BA18,8,FALSE)</f>
        <v>-1</v>
      </c>
      <c r="CP17" s="16">
        <f>VLOOKUP($CH17,$AS15:$BA18,9,FALSE)</f>
        <v>3</v>
      </c>
      <c r="CR17" s="21" t="e">
        <f>#REF!</f>
        <v>#REF!</v>
      </c>
    </row>
    <row r="18" spans="1:96" ht="18.75" thickBot="1" x14ac:dyDescent="0.3">
      <c r="A18" s="523" t="s">
        <v>3</v>
      </c>
      <c r="B18" s="524"/>
      <c r="C18" s="524"/>
      <c r="D18" s="524"/>
      <c r="E18" s="524"/>
      <c r="F18" s="524"/>
      <c r="G18" s="524"/>
      <c r="H18" s="524"/>
      <c r="I18" s="524"/>
      <c r="J18" s="524"/>
      <c r="K18" s="524"/>
      <c r="L18" s="524"/>
      <c r="M18" s="524"/>
      <c r="N18" s="524"/>
      <c r="O18" s="524"/>
      <c r="P18" s="525"/>
      <c r="R18" s="523" t="s">
        <v>4</v>
      </c>
      <c r="S18" s="524"/>
      <c r="T18" s="524"/>
      <c r="U18" s="524"/>
      <c r="V18" s="524"/>
      <c r="W18" s="524"/>
      <c r="X18" s="524"/>
      <c r="Y18" s="524"/>
      <c r="Z18" s="524"/>
      <c r="AA18" s="524"/>
      <c r="AB18" s="524"/>
      <c r="AC18" s="524"/>
      <c r="AD18" s="524"/>
      <c r="AE18" s="524"/>
      <c r="AF18" s="524"/>
      <c r="AG18" s="525"/>
      <c r="AH18" s="70" t="s">
        <v>177</v>
      </c>
      <c r="AI18" s="70" t="s">
        <v>178</v>
      </c>
      <c r="AJ18" s="70">
        <f>I27</f>
        <v>7</v>
      </c>
      <c r="AK18" s="232">
        <f>K27</f>
        <v>1</v>
      </c>
      <c r="AL18" s="73" t="s">
        <v>179</v>
      </c>
      <c r="AM18" s="51" t="s">
        <v>180</v>
      </c>
      <c r="AN18" s="44" t="s">
        <v>172</v>
      </c>
      <c r="AO18" s="45" t="str">
        <f t="shared" si="4"/>
        <v>China</v>
      </c>
      <c r="AP18" s="45" t="str">
        <f t="shared" si="5"/>
        <v>Costa Rica</v>
      </c>
      <c r="AQ18" s="45"/>
      <c r="AS18" s="16" t="str">
        <f>KWALIFICATIE!L9</f>
        <v>Vrienden van Van Essen</v>
      </c>
      <c r="AT18" s="16">
        <f>COUNT(South_Africa_Played)</f>
        <v>2</v>
      </c>
      <c r="AU18" s="16">
        <f>COUNTIF(Groupstage_Winners,"South Africa")</f>
        <v>1</v>
      </c>
      <c r="AV18" s="16">
        <f>COUNTIF(Groupstage_Losers,"South Africa")</f>
        <v>1</v>
      </c>
      <c r="AW18" s="16">
        <f>AT18-(AU18+AV18)</f>
        <v>0</v>
      </c>
      <c r="AX18" s="16">
        <f>SUM(South_Africa_Played)</f>
        <v>2</v>
      </c>
      <c r="AY18" s="16">
        <f>SUM(South_Africa_Against)</f>
        <v>3</v>
      </c>
      <c r="AZ18" s="16">
        <f>AX18-AY18</f>
        <v>-1</v>
      </c>
      <c r="BA18" s="16">
        <f t="shared" si="7"/>
        <v>3</v>
      </c>
      <c r="BB18" s="16" t="str">
        <f>IF($BA18&lt;=$BA17,$AS18,$AS17)</f>
        <v>Vrienden van Van Essen</v>
      </c>
      <c r="BC18" s="16">
        <f>VLOOKUP($BB18,$AS15:$BA18,9,FALSE)</f>
        <v>3</v>
      </c>
      <c r="BD18" s="16" t="str">
        <f>IF(BC18&lt;=BC16,BB18,BB16)</f>
        <v>Vrienden van Van Essen</v>
      </c>
      <c r="BE18" s="16">
        <f>VLOOKUP($BD18,$AS15:$BA18,9,FALSE)</f>
        <v>3</v>
      </c>
      <c r="BF18" s="16" t="str">
        <f>IF($BE18&lt;=$BE15,$BD18,$BD15)</f>
        <v>Vrienden van Van Essen</v>
      </c>
      <c r="BG18" s="16">
        <f>VLOOKUP($BF18,$AS15:$BA18,9,FALSE)</f>
        <v>3</v>
      </c>
      <c r="BH18" s="16">
        <f>VLOOKUP($BF18,$AS15:$BA18,8,FALSE)</f>
        <v>-1</v>
      </c>
      <c r="BI18" s="16" t="str">
        <f>IF(AND($BG17=$BG18,$BH18&gt;$BH17),$BF17,$BF18)</f>
        <v>Vrienden van Van Essen</v>
      </c>
      <c r="BJ18" s="16">
        <f>VLOOKUP($BI18,$AS15:$BA18,9,FALSE)</f>
        <v>3</v>
      </c>
      <c r="BK18" s="16">
        <f>VLOOKUP($BI18,$AS15:$BA18,8,FALSE)</f>
        <v>-1</v>
      </c>
      <c r="BL18" s="16" t="str">
        <f>IF(AND($BJ16=$BJ18,$BK18&gt;$BK16),$BI16,$BI18)</f>
        <v>Vrienden van Van Essen</v>
      </c>
      <c r="BM18" s="16">
        <f>VLOOKUP($BL18,$AS15:$BA18,9,FALSE)</f>
        <v>3</v>
      </c>
      <c r="BN18" s="16">
        <f>VLOOKUP($BL18,$AS15:$BA18,8,FALSE)</f>
        <v>-1</v>
      </c>
      <c r="BO18" s="16" t="str">
        <f>IF(AND($BM15=$BM18,$BN18&gt;$BN15),$BL15,$BL18)</f>
        <v>Vrienden van Van Essen</v>
      </c>
      <c r="BP18" s="16">
        <f>VLOOKUP($BO18,$AS15:$BA18,9,FALSE)</f>
        <v>3</v>
      </c>
      <c r="BQ18" s="16">
        <f>VLOOKUP($BO18,$AS15:$BA18,8,FALSE)</f>
        <v>-1</v>
      </c>
      <c r="BR18" s="16">
        <f>VLOOKUP($BO18,$AS15:$BA18,6,FALSE)</f>
        <v>2</v>
      </c>
      <c r="BS18" s="16" t="str">
        <f>IF(AND($BP17=$BP18,$BQ17=$BQ18,$BR18&gt;$BR17),$BO17,$BO18)</f>
        <v>Vrienden van Van Essen</v>
      </c>
      <c r="BT18" s="16">
        <f>VLOOKUP($BS18,$AS15:$BA18,9,FALSE)</f>
        <v>3</v>
      </c>
      <c r="BU18" s="16">
        <f>VLOOKUP($BS18,$AS15:$BA18,8,FALSE)</f>
        <v>-1</v>
      </c>
      <c r="BV18" s="16">
        <f>VLOOKUP($BS18,$AS15:$BA18,6,FALSE)</f>
        <v>2</v>
      </c>
      <c r="BW18" s="16" t="str">
        <f>IF(AND($BT16=$BT18,$BU16=$BU18,$BV18&gt;$BV16),$BS16,$BS18)</f>
        <v>Vrienden van Van Essen</v>
      </c>
      <c r="BX18" s="16">
        <f>VLOOKUP($BW18,$AS15:$BA18,9,FALSE)</f>
        <v>3</v>
      </c>
      <c r="BY18" s="16">
        <f>VLOOKUP($BW18,$AS15:$BA18,8,FALSE)</f>
        <v>-1</v>
      </c>
      <c r="BZ18" s="16">
        <f>VLOOKUP($BW18,$AS15:$BA18,6,FALSE)</f>
        <v>2</v>
      </c>
      <c r="CA18" s="16" t="str">
        <f>IF(AND($BX15=$BX18,$BY15=$BY18,$BZ18&gt;$BZ15),$BW15,$BW18)</f>
        <v>Vrienden van Van Essen</v>
      </c>
      <c r="CB18" s="16">
        <f>VLOOKUP($CA18,$AS15:$BA18,9,FALSE)</f>
        <v>3</v>
      </c>
      <c r="CC18" s="16">
        <f>VLOOKUP($CA18,$AS15:$BA18,8,FALSE)</f>
        <v>-1</v>
      </c>
      <c r="CD18" s="16">
        <f>VLOOKUP($CA18,$AS15:$BA18,6,FALSE)</f>
        <v>2</v>
      </c>
      <c r="CH18" s="16" t="str">
        <f>CA18</f>
        <v>Vrienden van Van Essen</v>
      </c>
      <c r="CI18" s="16">
        <f>VLOOKUP($CH18,$AS15:$BA18,2,FALSE)</f>
        <v>2</v>
      </c>
      <c r="CJ18" s="16">
        <f>VLOOKUP($CH18,$AS15:$BA18,3,FALSE)</f>
        <v>1</v>
      </c>
      <c r="CK18" s="16">
        <f>VLOOKUP($CH18,$AS15:$BA18,4,FALSE)</f>
        <v>1</v>
      </c>
      <c r="CL18" s="16">
        <f>VLOOKUP($CH18,$AS15:$BA18,5,FALSE)</f>
        <v>0</v>
      </c>
      <c r="CM18" s="16">
        <f>VLOOKUP($CH18,$AS15:$BA18,6,FALSE)</f>
        <v>2</v>
      </c>
      <c r="CN18" s="16">
        <f>VLOOKUP($CH18,$AS15:$BA18,7,FALSE)</f>
        <v>3</v>
      </c>
      <c r="CO18" s="16">
        <f>VLOOKUP($CH18,$AS15:$BA18,8,FALSE)</f>
        <v>-1</v>
      </c>
      <c r="CP18" s="16">
        <f>VLOOKUP($CH18,$AS15:$BA18,9,FALSE)</f>
        <v>3</v>
      </c>
      <c r="CR18" s="21" t="e">
        <f>#REF!</f>
        <v>#REF!</v>
      </c>
    </row>
    <row r="19" spans="1:96" ht="12.95" customHeight="1" thickBot="1" x14ac:dyDescent="0.25">
      <c r="A19" s="28"/>
      <c r="B19" s="24"/>
      <c r="C19" s="24"/>
      <c r="D19" s="24"/>
      <c r="E19" s="24"/>
      <c r="F19" s="24"/>
      <c r="G19" s="338" t="s">
        <v>109</v>
      </c>
      <c r="H19" s="338" t="s">
        <v>110</v>
      </c>
      <c r="I19" s="338" t="s">
        <v>111</v>
      </c>
      <c r="J19" s="522" t="s">
        <v>112</v>
      </c>
      <c r="K19" s="522"/>
      <c r="L19" s="522" t="s">
        <v>113</v>
      </c>
      <c r="M19" s="522"/>
      <c r="N19" s="522"/>
      <c r="O19" s="338" t="str">
        <f>T("+/-")</f>
        <v>+/-</v>
      </c>
      <c r="P19" s="245" t="s">
        <v>114</v>
      </c>
      <c r="R19" s="28"/>
      <c r="X19" s="338" t="s">
        <v>109</v>
      </c>
      <c r="Y19" s="338" t="s">
        <v>110</v>
      </c>
      <c r="Z19" s="338" t="s">
        <v>111</v>
      </c>
      <c r="AA19" s="522" t="s">
        <v>112</v>
      </c>
      <c r="AB19" s="522"/>
      <c r="AC19" s="522" t="s">
        <v>113</v>
      </c>
      <c r="AD19" s="522"/>
      <c r="AE19" s="522"/>
      <c r="AF19" s="338" t="str">
        <f>T("+/-")</f>
        <v>+/-</v>
      </c>
      <c r="AG19" s="245" t="s">
        <v>114</v>
      </c>
      <c r="AH19" s="69" t="s">
        <v>181</v>
      </c>
      <c r="AI19" s="70" t="s">
        <v>182</v>
      </c>
      <c r="AJ19" s="70">
        <f>Z58</f>
        <v>0</v>
      </c>
      <c r="AK19" s="232">
        <f>AB58</f>
        <v>2</v>
      </c>
      <c r="AL19" s="73" t="s">
        <v>183</v>
      </c>
      <c r="AM19" s="50" t="s">
        <v>184</v>
      </c>
      <c r="AN19" s="44" t="s">
        <v>185</v>
      </c>
      <c r="AO19" s="45" t="str">
        <f t="shared" si="4"/>
        <v>Belgium</v>
      </c>
      <c r="AP19" s="45" t="str">
        <f t="shared" si="5"/>
        <v>Japan</v>
      </c>
      <c r="AQ19" s="45"/>
      <c r="CR19" s="21" t="e">
        <f>#REF!</f>
        <v>#REF!</v>
      </c>
    </row>
    <row r="20" spans="1:96" ht="12.95" customHeight="1" thickBot="1" x14ac:dyDescent="0.25">
      <c r="A20" s="516" t="s">
        <v>186</v>
      </c>
      <c r="B20" s="517"/>
      <c r="C20" s="333" t="str">
        <f>CH22</f>
        <v>Team Bombert</v>
      </c>
      <c r="D20" s="333"/>
      <c r="E20" s="333"/>
      <c r="F20" s="333"/>
      <c r="G20" s="334">
        <f t="shared" ref="G20:H23" si="8">CI22</f>
        <v>3</v>
      </c>
      <c r="H20" s="334">
        <f t="shared" si="8"/>
        <v>1</v>
      </c>
      <c r="I20" s="334">
        <f>CL22</f>
        <v>1</v>
      </c>
      <c r="J20" s="513">
        <f>CK22</f>
        <v>1</v>
      </c>
      <c r="K20" s="513"/>
      <c r="L20" s="167">
        <f>CM22</f>
        <v>8</v>
      </c>
      <c r="M20" s="334" t="s">
        <v>16</v>
      </c>
      <c r="N20" s="282">
        <f t="shared" ref="N20:O23" si="9">CN22</f>
        <v>4</v>
      </c>
      <c r="O20" s="334">
        <f t="shared" si="9"/>
        <v>4</v>
      </c>
      <c r="P20" s="306">
        <f>SUM(H20*3+I20*1)</f>
        <v>4</v>
      </c>
      <c r="Q20" s="167"/>
      <c r="R20" s="516" t="s">
        <v>186</v>
      </c>
      <c r="S20" s="517"/>
      <c r="T20" s="333" t="str">
        <f>CH29</f>
        <v>FC Vondelpark</v>
      </c>
      <c r="U20" s="333"/>
      <c r="V20" s="333"/>
      <c r="W20" s="333"/>
      <c r="X20" s="335">
        <f t="shared" ref="X20:Y22" si="10">CI29</f>
        <v>3</v>
      </c>
      <c r="Y20" s="335">
        <f t="shared" si="10"/>
        <v>2</v>
      </c>
      <c r="Z20" s="334">
        <f>CL29</f>
        <v>0</v>
      </c>
      <c r="AA20" s="514">
        <f>CK29</f>
        <v>1</v>
      </c>
      <c r="AB20" s="514"/>
      <c r="AC20" s="218">
        <f>CM29</f>
        <v>7</v>
      </c>
      <c r="AD20" s="334" t="s">
        <v>16</v>
      </c>
      <c r="AE20" s="326">
        <f t="shared" ref="AE20:AF22" si="11">CN29</f>
        <v>2</v>
      </c>
      <c r="AF20" s="335">
        <f t="shared" si="11"/>
        <v>5</v>
      </c>
      <c r="AG20" s="306">
        <f>SUM(Y20*3+Z20*1)</f>
        <v>6</v>
      </c>
      <c r="AH20" s="70" t="s">
        <v>187</v>
      </c>
      <c r="AI20" s="70" t="s">
        <v>188</v>
      </c>
      <c r="AJ20" s="70">
        <f>Z26</f>
        <v>4</v>
      </c>
      <c r="AK20" s="232">
        <f>AB26</f>
        <v>0</v>
      </c>
      <c r="AL20" s="73" t="s">
        <v>189</v>
      </c>
      <c r="AM20" s="51" t="s">
        <v>190</v>
      </c>
      <c r="AN20" s="44" t="s">
        <v>126</v>
      </c>
      <c r="AO20" s="45" t="str">
        <f t="shared" si="4"/>
        <v>South Korea</v>
      </c>
      <c r="AP20" s="45" t="str">
        <f t="shared" si="5"/>
        <v>Poland</v>
      </c>
      <c r="AQ20" s="45"/>
      <c r="AS20" s="16" t="s">
        <v>191</v>
      </c>
      <c r="CR20" s="21" t="e">
        <f>#REF!</f>
        <v>#REF!</v>
      </c>
    </row>
    <row r="21" spans="1:96" ht="12.95" customHeight="1" thickBot="1" x14ac:dyDescent="0.25">
      <c r="A21" s="516" t="s">
        <v>192</v>
      </c>
      <c r="B21" s="517"/>
      <c r="C21" s="333" t="str">
        <f>CH23</f>
        <v>De Kabel</v>
      </c>
      <c r="D21" s="333"/>
      <c r="E21" s="333"/>
      <c r="F21" s="333"/>
      <c r="G21" s="334">
        <f t="shared" si="8"/>
        <v>3</v>
      </c>
      <c r="H21" s="334">
        <f t="shared" si="8"/>
        <v>1</v>
      </c>
      <c r="I21" s="334">
        <f>CL23</f>
        <v>1</v>
      </c>
      <c r="J21" s="513">
        <f>CK23</f>
        <v>1</v>
      </c>
      <c r="K21" s="513"/>
      <c r="L21" s="167">
        <f>CM23</f>
        <v>3</v>
      </c>
      <c r="M21" s="334" t="s">
        <v>16</v>
      </c>
      <c r="N21" s="282">
        <f t="shared" si="9"/>
        <v>4</v>
      </c>
      <c r="O21" s="334">
        <f t="shared" si="9"/>
        <v>-1</v>
      </c>
      <c r="P21" s="306">
        <f>SUM(H21*3+I21*1)</f>
        <v>4</v>
      </c>
      <c r="Q21" s="167"/>
      <c r="R21" s="516" t="s">
        <v>192</v>
      </c>
      <c r="S21" s="517"/>
      <c r="T21" s="333" t="str">
        <f>CH30</f>
        <v>IAMB&amp;B</v>
      </c>
      <c r="U21" s="333"/>
      <c r="V21" s="333"/>
      <c r="W21" s="333"/>
      <c r="X21" s="335">
        <f t="shared" si="10"/>
        <v>3</v>
      </c>
      <c r="Y21" s="335">
        <f t="shared" si="10"/>
        <v>2</v>
      </c>
      <c r="Z21" s="334">
        <f>CL30</f>
        <v>0</v>
      </c>
      <c r="AA21" s="514">
        <f>CK30</f>
        <v>1</v>
      </c>
      <c r="AB21" s="514"/>
      <c r="AC21" s="218">
        <f>CM30</f>
        <v>7</v>
      </c>
      <c r="AD21" s="334" t="s">
        <v>16</v>
      </c>
      <c r="AE21" s="326">
        <f t="shared" si="11"/>
        <v>5</v>
      </c>
      <c r="AF21" s="335">
        <f t="shared" si="11"/>
        <v>2</v>
      </c>
      <c r="AG21" s="306">
        <f>SUM(Y21*3+Z21*1)</f>
        <v>6</v>
      </c>
      <c r="AH21" s="70" t="s">
        <v>193</v>
      </c>
      <c r="AI21" s="70" t="s">
        <v>194</v>
      </c>
      <c r="AJ21" s="70">
        <f>Z59</f>
        <v>0</v>
      </c>
      <c r="AK21" s="232">
        <f>AB59</f>
        <v>4</v>
      </c>
      <c r="AL21" s="73" t="s">
        <v>195</v>
      </c>
      <c r="AM21" s="51" t="s">
        <v>196</v>
      </c>
      <c r="AN21" s="44" t="s">
        <v>185</v>
      </c>
      <c r="AO21" s="45" t="str">
        <f t="shared" si="4"/>
        <v>Tunisia</v>
      </c>
      <c r="AP21" s="45" t="str">
        <f t="shared" si="5"/>
        <v>Russia</v>
      </c>
      <c r="AQ21" s="45"/>
      <c r="AT21" s="16" t="s">
        <v>124</v>
      </c>
      <c r="AU21" s="16" t="s">
        <v>110</v>
      </c>
      <c r="AV21" s="16" t="s">
        <v>125</v>
      </c>
      <c r="AW21" s="16" t="s">
        <v>126</v>
      </c>
      <c r="AX21" s="16" t="s">
        <v>127</v>
      </c>
      <c r="AY21" s="16" t="s">
        <v>123</v>
      </c>
      <c r="AZ21" s="16" t="s">
        <v>128</v>
      </c>
      <c r="BA21" s="16" t="s">
        <v>129</v>
      </c>
      <c r="CR21" s="21" t="e">
        <f>#REF!</f>
        <v>#REF!</v>
      </c>
    </row>
    <row r="22" spans="1:96" ht="12.95" customHeight="1" thickBot="1" x14ac:dyDescent="0.25">
      <c r="A22" s="516" t="s">
        <v>197</v>
      </c>
      <c r="B22" s="517"/>
      <c r="C22" s="333" t="str">
        <f>CH24</f>
        <v>Om des Keijzers baerdt</v>
      </c>
      <c r="D22" s="333"/>
      <c r="E22" s="333"/>
      <c r="F22" s="333"/>
      <c r="G22" s="334">
        <f t="shared" si="8"/>
        <v>2</v>
      </c>
      <c r="H22" s="334">
        <f t="shared" si="8"/>
        <v>1</v>
      </c>
      <c r="I22" s="334">
        <f>CL24</f>
        <v>0</v>
      </c>
      <c r="J22" s="513">
        <f>CK24</f>
        <v>1</v>
      </c>
      <c r="K22" s="513"/>
      <c r="L22" s="167">
        <f>CM24</f>
        <v>2</v>
      </c>
      <c r="M22" s="334" t="s">
        <v>16</v>
      </c>
      <c r="N22" s="282">
        <f t="shared" si="9"/>
        <v>2</v>
      </c>
      <c r="O22" s="334">
        <f t="shared" si="9"/>
        <v>0</v>
      </c>
      <c r="P22" s="306">
        <f>SUM(H22*3+I22*1)</f>
        <v>3</v>
      </c>
      <c r="Q22" s="167"/>
      <c r="R22" s="516" t="s">
        <v>197</v>
      </c>
      <c r="S22" s="517"/>
      <c r="T22" s="333" t="str">
        <f>CH31</f>
        <v>FC Papa</v>
      </c>
      <c r="U22" s="333"/>
      <c r="V22" s="333"/>
      <c r="W22" s="333"/>
      <c r="X22" s="335">
        <f t="shared" si="10"/>
        <v>3</v>
      </c>
      <c r="Y22" s="335">
        <f t="shared" si="10"/>
        <v>2</v>
      </c>
      <c r="Z22" s="334">
        <f>CL31</f>
        <v>0</v>
      </c>
      <c r="AA22" s="514">
        <f>CK31</f>
        <v>1</v>
      </c>
      <c r="AB22" s="514"/>
      <c r="AC22" s="218">
        <f>CM31</f>
        <v>4</v>
      </c>
      <c r="AD22" s="334" t="s">
        <v>16</v>
      </c>
      <c r="AE22" s="326">
        <f t="shared" si="11"/>
        <v>4</v>
      </c>
      <c r="AF22" s="335">
        <f t="shared" si="11"/>
        <v>0</v>
      </c>
      <c r="AG22" s="306">
        <f>SUM(Y22*3+Z22*1)</f>
        <v>6</v>
      </c>
      <c r="AH22" s="70" t="s">
        <v>198</v>
      </c>
      <c r="AI22" s="70" t="s">
        <v>199</v>
      </c>
      <c r="AJ22" s="70">
        <f>Z27</f>
        <v>0</v>
      </c>
      <c r="AK22" s="232">
        <f>AB27</f>
        <v>3</v>
      </c>
      <c r="AL22" s="73" t="s">
        <v>200</v>
      </c>
      <c r="AM22" s="51" t="s">
        <v>201</v>
      </c>
      <c r="AN22" s="44" t="s">
        <v>126</v>
      </c>
      <c r="AO22" s="45" t="str">
        <f t="shared" si="4"/>
        <v>Portugal</v>
      </c>
      <c r="AP22" s="45" t="str">
        <f t="shared" si="5"/>
        <v>USA</v>
      </c>
      <c r="AQ22" s="45"/>
      <c r="AS22" s="16" t="str">
        <f>KWALIFICATIE!S5</f>
        <v>De Kabel</v>
      </c>
      <c r="AT22" s="16">
        <f>COUNT(Brazil_Played)</f>
        <v>3</v>
      </c>
      <c r="AU22" s="16">
        <f>COUNTIF(Groupstage_Winners,"Brazil")</f>
        <v>1</v>
      </c>
      <c r="AV22" s="16">
        <f>COUNTIF(Groupstage_Losers,"Brazil")</f>
        <v>1</v>
      </c>
      <c r="AW22" s="16">
        <f>AT22-(AU22+AV22)</f>
        <v>1</v>
      </c>
      <c r="AX22" s="16">
        <f>SUM(Brazil_Played)</f>
        <v>3</v>
      </c>
      <c r="AY22" s="16">
        <f>SUM(Brazil_Against)</f>
        <v>4</v>
      </c>
      <c r="AZ22" s="16">
        <f>AX22-AY22</f>
        <v>-1</v>
      </c>
      <c r="BA22" s="16">
        <f>SUM((AU22*3)+(AW22*1))</f>
        <v>4</v>
      </c>
      <c r="BB22" s="16" t="str">
        <f>IF($BA22&gt;=$BA23,$AS22,$AS23)</f>
        <v>De Kabel</v>
      </c>
      <c r="BC22" s="16">
        <f>VLOOKUP($BB22,$AS22:$BA25,9,FALSE)</f>
        <v>4</v>
      </c>
      <c r="BD22" s="16" t="str">
        <f>IF($BC22&gt;=$BC24,$BB22,$BB24)</f>
        <v>De Kabel</v>
      </c>
      <c r="BE22" s="16">
        <f>VLOOKUP($BD22,$AS22:$BA25,9,FALSE)</f>
        <v>4</v>
      </c>
      <c r="BF22" s="16" t="str">
        <f>IF($BE22&gt;=$BE25,$BD22,$BD25)</f>
        <v>De Kabel</v>
      </c>
      <c r="BG22" s="16">
        <f>VLOOKUP($BF22,$AS22:$BA25,9,FALSE)</f>
        <v>4</v>
      </c>
      <c r="BH22" s="16">
        <f>VLOOKUP($BF22,$AS22:$BA25,8,FALSE)</f>
        <v>-1</v>
      </c>
      <c r="BI22" s="16" t="str">
        <f>IF(AND($BG22=$BG23,$BH23&gt;$BH22),$BF23,$BF22)</f>
        <v>Team Bombert</v>
      </c>
      <c r="BJ22" s="16">
        <f>VLOOKUP($BI22,$AS22:$BA25,9,FALSE)</f>
        <v>4</v>
      </c>
      <c r="BK22" s="16">
        <f>VLOOKUP($BI22,$AS22:$BA25,8,FALSE)</f>
        <v>4</v>
      </c>
      <c r="BL22" s="16" t="str">
        <f>IF(AND($BJ22=$BJ24,$BK24&gt;$BK22),$BI24,$BI22)</f>
        <v>Team Bombert</v>
      </c>
      <c r="BM22" s="16">
        <f>VLOOKUP($BL22,$AS22:$BA25,9,FALSE)</f>
        <v>4</v>
      </c>
      <c r="BN22" s="16">
        <f>VLOOKUP($BL22,$AS22:$BA25,8,FALSE)</f>
        <v>4</v>
      </c>
      <c r="BO22" s="16" t="str">
        <f>IF(AND($BM22=$BM25,$BN25&gt;$BN22),$BL25,$BL22)</f>
        <v>Team Bombert</v>
      </c>
      <c r="BP22" s="16">
        <f>VLOOKUP($BO22,$AS22:$BA25,9,FALSE)</f>
        <v>4</v>
      </c>
      <c r="BQ22" s="16">
        <f>VLOOKUP($BO22,$AS22:$BA25,8,FALSE)</f>
        <v>4</v>
      </c>
      <c r="BR22" s="16">
        <f>VLOOKUP($BO22,$AS22:$BA25,6,FALSE)</f>
        <v>8</v>
      </c>
      <c r="BS22" s="16" t="str">
        <f>IF(AND($BP22=$BP23,$BQ22=$BQ23,$BR23&gt;$BR22),$BO23,$BO22)</f>
        <v>Team Bombert</v>
      </c>
      <c r="BT22" s="16">
        <f>VLOOKUP($BS22,$AS22:$BA25,9,FALSE)</f>
        <v>4</v>
      </c>
      <c r="BU22" s="16">
        <f>VLOOKUP($BS22,$AS22:$BA25,8,FALSE)</f>
        <v>4</v>
      </c>
      <c r="BV22" s="16">
        <f>VLOOKUP($BS22,$AS22:$BA25,6,FALSE)</f>
        <v>8</v>
      </c>
      <c r="BW22" s="16" t="str">
        <f>IF(AND($BT22=$BT24,$BU22=$BU24,$BV24&gt;$BV22),$BS24,$BS22)</f>
        <v>Team Bombert</v>
      </c>
      <c r="BX22" s="16">
        <f>VLOOKUP($BW22,$AS22:$BA25,9,FALSE)</f>
        <v>4</v>
      </c>
      <c r="BY22" s="16">
        <f>VLOOKUP($BW22,$AS22:$BA25,8,FALSE)</f>
        <v>4</v>
      </c>
      <c r="BZ22" s="16">
        <f>VLOOKUP($BW22,$AS22:$BA25,6,FALSE)</f>
        <v>8</v>
      </c>
      <c r="CA22" s="16" t="str">
        <f>IF(AND($BX22=$BX25,$BY22=$BY25,$BZ25&gt;$BZ22),$BW25,$BW22)</f>
        <v>Team Bombert</v>
      </c>
      <c r="CB22" s="16">
        <f>VLOOKUP($CA22,$AS22:$BA25,9,FALSE)</f>
        <v>4</v>
      </c>
      <c r="CC22" s="16">
        <f>VLOOKUP($CA22,$AS22:$BA25,8,FALSE)</f>
        <v>4</v>
      </c>
      <c r="CD22" s="16">
        <f>VLOOKUP($CA22,$AS22:$BA25,6,FALSE)</f>
        <v>8</v>
      </c>
      <c r="CH22" s="16" t="str">
        <f>CA22</f>
        <v>Team Bombert</v>
      </c>
      <c r="CI22" s="16">
        <f>VLOOKUP($CH22,$AS22:$BA25,2,FALSE)</f>
        <v>3</v>
      </c>
      <c r="CJ22" s="16">
        <f>VLOOKUP($CH22,$AS22:$BA25,3,FALSE)</f>
        <v>1</v>
      </c>
      <c r="CK22" s="16">
        <f>VLOOKUP($CH22,$AS22:$BA25,4,FALSE)</f>
        <v>1</v>
      </c>
      <c r="CL22" s="16">
        <f>VLOOKUP($CH22,$AS22:$BA25,5,FALSE)</f>
        <v>1</v>
      </c>
      <c r="CM22" s="16">
        <f>VLOOKUP($CH22,$AS22:$BA25,6,FALSE)</f>
        <v>8</v>
      </c>
      <c r="CN22" s="16">
        <f>VLOOKUP($CH22,$AS22:$BA25,7,FALSE)</f>
        <v>4</v>
      </c>
      <c r="CO22" s="16">
        <f>VLOOKUP($CH22,$AS22:$BA25,8,FALSE)</f>
        <v>4</v>
      </c>
      <c r="CP22" s="16">
        <f>VLOOKUP($CH22,$AS22:$BA25,9,FALSE)</f>
        <v>4</v>
      </c>
      <c r="CR22" s="21" t="e">
        <f>#REF!</f>
        <v>#REF!</v>
      </c>
    </row>
    <row r="23" spans="1:96" ht="13.5" thickBot="1" x14ac:dyDescent="0.25">
      <c r="A23" s="516" t="s">
        <v>202</v>
      </c>
      <c r="B23" s="517"/>
      <c r="C23" s="333" t="str">
        <f>CH25</f>
        <v>Amsterdam Finest ss16</v>
      </c>
      <c r="D23" s="333"/>
      <c r="E23" s="333"/>
      <c r="F23" s="333"/>
      <c r="G23" s="334">
        <f t="shared" si="8"/>
        <v>2</v>
      </c>
      <c r="H23" s="334">
        <f t="shared" si="8"/>
        <v>1</v>
      </c>
      <c r="I23" s="334">
        <f>CL25</f>
        <v>0</v>
      </c>
      <c r="J23" s="513">
        <f>CK25</f>
        <v>1</v>
      </c>
      <c r="K23" s="513"/>
      <c r="L23" s="167">
        <f>CM25</f>
        <v>4</v>
      </c>
      <c r="M23" s="334" t="s">
        <v>16</v>
      </c>
      <c r="N23" s="282">
        <f t="shared" si="9"/>
        <v>7</v>
      </c>
      <c r="O23" s="334">
        <f t="shared" si="9"/>
        <v>-3</v>
      </c>
      <c r="P23" s="306">
        <f>SUM(H23*3+I23*1)</f>
        <v>3</v>
      </c>
      <c r="Q23" s="167"/>
      <c r="R23" s="516" t="s">
        <v>202</v>
      </c>
      <c r="S23" s="517"/>
      <c r="T23" s="333" t="str">
        <f>CH34</f>
        <v>Veddetero's klunzen</v>
      </c>
      <c r="U23" s="333"/>
      <c r="V23" s="333"/>
      <c r="W23" s="333"/>
      <c r="X23" s="335">
        <f>CI34</f>
        <v>3</v>
      </c>
      <c r="Y23" s="335">
        <f>CJ34</f>
        <v>0</v>
      </c>
      <c r="Z23" s="334">
        <f>CL34</f>
        <v>0</v>
      </c>
      <c r="AA23" s="514">
        <f>CK34</f>
        <v>3</v>
      </c>
      <c r="AB23" s="514"/>
      <c r="AC23" s="218">
        <f>CM34</f>
        <v>1</v>
      </c>
      <c r="AD23" s="334" t="s">
        <v>16</v>
      </c>
      <c r="AE23" s="326">
        <f>CN34</f>
        <v>8</v>
      </c>
      <c r="AF23" s="335">
        <f>CO34</f>
        <v>-7</v>
      </c>
      <c r="AG23" s="306">
        <f>SUM(Y23*3+Z23*1)</f>
        <v>0</v>
      </c>
      <c r="AH23" s="63" t="s">
        <v>142</v>
      </c>
      <c r="AI23" s="63" t="s">
        <v>143</v>
      </c>
      <c r="AJ23" s="63">
        <f>I45</f>
        <v>2</v>
      </c>
      <c r="AK23" s="234">
        <f>K45</f>
        <v>0</v>
      </c>
      <c r="AL23" s="77" t="s">
        <v>134</v>
      </c>
      <c r="AM23" s="48" t="s">
        <v>133</v>
      </c>
      <c r="AN23" s="44" t="s">
        <v>137</v>
      </c>
      <c r="AO23" s="45" t="str">
        <f t="shared" si="4"/>
        <v>Germany</v>
      </c>
      <c r="AP23" s="45" t="str">
        <f t="shared" si="5"/>
        <v>Ireland</v>
      </c>
      <c r="AQ23" s="45"/>
      <c r="AS23" s="16" t="str">
        <f>KWALIFICATIE!S6</f>
        <v>Om des Keijzers baerdt</v>
      </c>
      <c r="AT23" s="16">
        <f>COUNT(Turkey_Played)</f>
        <v>2</v>
      </c>
      <c r="AU23" s="16">
        <f>COUNTIF(Groupstage_Winners,"Turkey")</f>
        <v>1</v>
      </c>
      <c r="AV23" s="16">
        <f>COUNTIF(Groupstage_Losers,"Turkey")</f>
        <v>1</v>
      </c>
      <c r="AW23" s="16">
        <f>AT23-(AU23+AV23)</f>
        <v>0</v>
      </c>
      <c r="AX23" s="16">
        <f>SUM(Turkey_Played)</f>
        <v>2</v>
      </c>
      <c r="AY23" s="16">
        <f>SUM(Turkey_Against)</f>
        <v>2</v>
      </c>
      <c r="AZ23" s="16">
        <f>AX23-AY23</f>
        <v>0</v>
      </c>
      <c r="BA23" s="16">
        <f t="shared" ref="BA23:BA25" si="12">SUM((AU23*3)+(AW23*1))</f>
        <v>3</v>
      </c>
      <c r="BB23" s="16" t="str">
        <f>IF($BA23&lt;=$BA22,$AS23,$AS22)</f>
        <v>Om des Keijzers baerdt</v>
      </c>
      <c r="BC23" s="16">
        <f>VLOOKUP($BB23,$AS22:$BA25,9,FALSE)</f>
        <v>3</v>
      </c>
      <c r="BD23" s="16" t="str">
        <f>IF(BC23&gt;=BC25,BB23,BB25)</f>
        <v>Om des Keijzers baerdt</v>
      </c>
      <c r="BE23" s="16">
        <f>VLOOKUP($BD23,$AS22:$BA25,9,FALSE)</f>
        <v>3</v>
      </c>
      <c r="BF23" s="16" t="str">
        <f>IF($BE23&gt;=$BE24,$BD23,$BD24)</f>
        <v>Team Bombert</v>
      </c>
      <c r="BG23" s="16">
        <f>VLOOKUP($BF23,$AS22:$BA25,9,FALSE)</f>
        <v>4</v>
      </c>
      <c r="BH23" s="16">
        <f>VLOOKUP($BF23,$AS22:$BA25,8,FALSE)</f>
        <v>4</v>
      </c>
      <c r="BI23" s="16" t="str">
        <f>IF(AND($BG22=$BG23,$BH23&gt;$BH22),$BF22,$BF23)</f>
        <v>De Kabel</v>
      </c>
      <c r="BJ23" s="16">
        <f>VLOOKUP($BI23,$AS22:$BA25,9,FALSE)</f>
        <v>4</v>
      </c>
      <c r="BK23" s="16">
        <f>VLOOKUP($BI23,$AS22:$BA25,8,FALSE)</f>
        <v>-1</v>
      </c>
      <c r="BL23" s="16" t="str">
        <f>IF(AND($BJ23=$BJ25,$BK25&gt;$BK23),$BI25,$BI23)</f>
        <v>De Kabel</v>
      </c>
      <c r="BM23" s="16">
        <f>VLOOKUP($BL23,$AS22:$BA25,9,FALSE)</f>
        <v>4</v>
      </c>
      <c r="BN23" s="16">
        <f>VLOOKUP($BL23,$AS22:$BA25,8,FALSE)</f>
        <v>-1</v>
      </c>
      <c r="BO23" s="16" t="str">
        <f>IF(AND($BM23=$BM24,$BN24&gt;$BN23),$BL24,$BL23)</f>
        <v>De Kabel</v>
      </c>
      <c r="BP23" s="16">
        <f>VLOOKUP($BO23,$AS22:$BA25,9,FALSE)</f>
        <v>4</v>
      </c>
      <c r="BQ23" s="16">
        <f>VLOOKUP($BO23,$AS22:$BA25,8,FALSE)</f>
        <v>-1</v>
      </c>
      <c r="BR23" s="16">
        <f>VLOOKUP($BO23,$AS22:$BA25,6,FALSE)</f>
        <v>3</v>
      </c>
      <c r="BS23" s="16" t="str">
        <f>IF(AND($BP22=$BP23,$BQ22=$BQ23,$BR23&gt;$BR22),$BO22,$BO23)</f>
        <v>De Kabel</v>
      </c>
      <c r="BT23" s="16">
        <f>VLOOKUP($BS23,$AS22:$BA25,9,FALSE)</f>
        <v>4</v>
      </c>
      <c r="BU23" s="16">
        <f>VLOOKUP($BS23,$AS22:$BA25,8,FALSE)</f>
        <v>-1</v>
      </c>
      <c r="BV23" s="16">
        <f>VLOOKUP($BS23,$AS22:$BA25,6,FALSE)</f>
        <v>3</v>
      </c>
      <c r="BW23" s="16" t="str">
        <f>IF(AND($BT23=$BT25,$BU23=$BU25,$BV25&gt;$BV23),$BS25,$BS23)</f>
        <v>De Kabel</v>
      </c>
      <c r="BX23" s="16">
        <f>VLOOKUP($BW23,$AS22:$BA25,9,FALSE)</f>
        <v>4</v>
      </c>
      <c r="BY23" s="16">
        <f>VLOOKUP($BW23,$AS22:$BA25,8,FALSE)</f>
        <v>-1</v>
      </c>
      <c r="BZ23" s="16">
        <f>VLOOKUP($BW23,$AS22:$BA25,6,FALSE)</f>
        <v>3</v>
      </c>
      <c r="CA23" s="16" t="str">
        <f>IF(AND($BX23=$BX24,$BY23=$BY24,$BZ24&gt;$BZ23),$BW24,$BW23)</f>
        <v>De Kabel</v>
      </c>
      <c r="CB23" s="16">
        <f>VLOOKUP($CA23,$AS22:$BA25,9,FALSE)</f>
        <v>4</v>
      </c>
      <c r="CC23" s="16">
        <f>VLOOKUP($CA23,$AS22:$BA25,8,FALSE)</f>
        <v>-1</v>
      </c>
      <c r="CD23" s="16">
        <f>VLOOKUP($CA23,$AS22:$BA25,6,FALSE)</f>
        <v>3</v>
      </c>
      <c r="CH23" s="16" t="str">
        <f>CA23</f>
        <v>De Kabel</v>
      </c>
      <c r="CI23" s="16">
        <f>VLOOKUP($CH23,$AS22:$BA25,2,FALSE)</f>
        <v>3</v>
      </c>
      <c r="CJ23" s="16">
        <f>VLOOKUP($CH23,$AS22:$BA25,3,FALSE)</f>
        <v>1</v>
      </c>
      <c r="CK23" s="16">
        <f>VLOOKUP($CH23,$AS22:$BA25,4,FALSE)</f>
        <v>1</v>
      </c>
      <c r="CL23" s="16">
        <f>VLOOKUP($CH23,$AS22:$BA25,5,FALSE)</f>
        <v>1</v>
      </c>
      <c r="CM23" s="16">
        <f>VLOOKUP($CH23,$AS22:$BA25,6,FALSE)</f>
        <v>3</v>
      </c>
      <c r="CN23" s="16">
        <f>VLOOKUP($CH23,$AS22:$BA25,7,FALSE)</f>
        <v>4</v>
      </c>
      <c r="CO23" s="16">
        <f>VLOOKUP($CH23,$AS22:$BA25,8,FALSE)</f>
        <v>-1</v>
      </c>
      <c r="CP23" s="16">
        <f>VLOOKUP($CH23,$AS22:$BA25,9,FALSE)</f>
        <v>4</v>
      </c>
      <c r="CR23" s="21" t="e">
        <f>#REF!</f>
        <v>#REF!</v>
      </c>
    </row>
    <row r="24" spans="1:96" ht="13.5" thickBot="1" x14ac:dyDescent="0.25">
      <c r="A24" s="28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P24" s="32"/>
      <c r="R24" s="28"/>
      <c r="AG24" s="32"/>
      <c r="AH24" s="65" t="s">
        <v>138</v>
      </c>
      <c r="AI24" s="63" t="s">
        <v>139</v>
      </c>
      <c r="AJ24" s="63">
        <f>I13</f>
        <v>2</v>
      </c>
      <c r="AK24" s="234">
        <f>K13</f>
        <v>2</v>
      </c>
      <c r="AL24" s="77" t="s">
        <v>120</v>
      </c>
      <c r="AM24" s="56" t="s">
        <v>119</v>
      </c>
      <c r="AN24" s="44" t="s">
        <v>123</v>
      </c>
      <c r="AO24" s="45" t="str">
        <f t="shared" si="4"/>
        <v>Draw</v>
      </c>
      <c r="AP24" s="45" t="str">
        <f t="shared" si="5"/>
        <v>Draw</v>
      </c>
      <c r="AQ24" s="45"/>
      <c r="AS24" s="16" t="str">
        <f>KWALIFICATIE!S7</f>
        <v>Team Bombert</v>
      </c>
      <c r="AT24" s="16">
        <f>COUNT(China_Played)</f>
        <v>3</v>
      </c>
      <c r="AU24" s="16">
        <f>COUNTIF(Groupstage_Winners,"China")</f>
        <v>1</v>
      </c>
      <c r="AV24" s="16">
        <f>COUNTIF(Groupstage_Losers,"China")</f>
        <v>1</v>
      </c>
      <c r="AW24" s="16">
        <f>AT24-(AU24+AV24)</f>
        <v>1</v>
      </c>
      <c r="AX24" s="16">
        <f>SUM(China_Played)</f>
        <v>8</v>
      </c>
      <c r="AY24" s="16">
        <f>SUM(China_Against)</f>
        <v>4</v>
      </c>
      <c r="AZ24" s="16">
        <f>AX24-AY24</f>
        <v>4</v>
      </c>
      <c r="BA24" s="16">
        <f t="shared" si="12"/>
        <v>4</v>
      </c>
      <c r="BB24" s="16" t="str">
        <f>IF($BA24&gt;=$BA25,$AS24,$AS25)</f>
        <v>Team Bombert</v>
      </c>
      <c r="BC24" s="16">
        <f>VLOOKUP($BB24,$AS22:$BA25,9,FALSE)</f>
        <v>4</v>
      </c>
      <c r="BD24" s="16" t="str">
        <f>IF($BC24&lt;=$BC22,$BB24,$BB22)</f>
        <v>Team Bombert</v>
      </c>
      <c r="BE24" s="16">
        <f>VLOOKUP($BD24,$AS22:$BA25,9,FALSE)</f>
        <v>4</v>
      </c>
      <c r="BF24" s="16" t="str">
        <f>IF($BE24&lt;=$BE23,$BD24,$BD23)</f>
        <v>Om des Keijzers baerdt</v>
      </c>
      <c r="BG24" s="16">
        <f>VLOOKUP($BF24,$AS22:$BA25,9,FALSE)</f>
        <v>3</v>
      </c>
      <c r="BH24" s="16">
        <f>VLOOKUP($BF24,$AS22:$BA25,8,FALSE)</f>
        <v>0</v>
      </c>
      <c r="BI24" s="16" t="str">
        <f>IF(AND($BG24=$BG25,$BH25&gt;$BH24),$BF25,$BF24)</f>
        <v>Om des Keijzers baerdt</v>
      </c>
      <c r="BJ24" s="16">
        <f>VLOOKUP($BI24,$AS22:$BA25,9,FALSE)</f>
        <v>3</v>
      </c>
      <c r="BK24" s="16">
        <f>VLOOKUP($BI24,$AS22:$BA25,8,FALSE)</f>
        <v>0</v>
      </c>
      <c r="BL24" s="16" t="str">
        <f>IF(AND($BJ22=$BJ24,$BK24&gt;$BK22),$BI22,$BI24)</f>
        <v>Om des Keijzers baerdt</v>
      </c>
      <c r="BM24" s="16">
        <f>VLOOKUP($BL24,$AS22:$BA25,9,FALSE)</f>
        <v>3</v>
      </c>
      <c r="BN24" s="16">
        <f>VLOOKUP($BL24,$AS22:$BA25,8,FALSE)</f>
        <v>0</v>
      </c>
      <c r="BO24" s="16" t="str">
        <f>IF(AND($BM23=$BM24,$BN24&gt;$BN23),$BL23,$BL24)</f>
        <v>Om des Keijzers baerdt</v>
      </c>
      <c r="BP24" s="16">
        <f>VLOOKUP($BO24,$AS22:$BA25,9,FALSE)</f>
        <v>3</v>
      </c>
      <c r="BQ24" s="16">
        <f>VLOOKUP($BO24,$AS22:$BA25,8,FALSE)</f>
        <v>0</v>
      </c>
      <c r="BR24" s="16">
        <f>VLOOKUP($BO24,$AS22:$BA25,6,FALSE)</f>
        <v>2</v>
      </c>
      <c r="BS24" s="16" t="str">
        <f>IF(AND($BP24=$BP25,$BQ24=$BQ25,$BR25&gt;$BR24),$BO25,$BO24)</f>
        <v>Om des Keijzers baerdt</v>
      </c>
      <c r="BT24" s="16">
        <f>VLOOKUP($BS24,$AS22:$BA25,9,FALSE)</f>
        <v>3</v>
      </c>
      <c r="BU24" s="16">
        <f>VLOOKUP($BS24,$AS22:$BA25,8,FALSE)</f>
        <v>0</v>
      </c>
      <c r="BV24" s="16">
        <f>VLOOKUP($BS24,$AS22:$BA25,6,FALSE)</f>
        <v>2</v>
      </c>
      <c r="BW24" s="16" t="str">
        <f>IF(AND($BT22=$BT24,$BU22=$BU24,$BV23&gt;$BV22),$BS22,$BS24)</f>
        <v>Om des Keijzers baerdt</v>
      </c>
      <c r="BX24" s="16">
        <f>VLOOKUP($BW24,$AS22:$BA25,9,FALSE)</f>
        <v>3</v>
      </c>
      <c r="BY24" s="16">
        <f>VLOOKUP($BW24,$AS22:$BA25,8,FALSE)</f>
        <v>0</v>
      </c>
      <c r="BZ24" s="16">
        <f>VLOOKUP($BW24,$AS22:$BA25,6,FALSE)</f>
        <v>2</v>
      </c>
      <c r="CA24" s="16" t="str">
        <f>IF(AND($BX23=$BX24,$BY23=$BY24,$BZ24&gt;$BZ23),$BW23,$BW24)</f>
        <v>Om des Keijzers baerdt</v>
      </c>
      <c r="CB24" s="16">
        <f>VLOOKUP($CA24,$AS22:$BA25,9,FALSE)</f>
        <v>3</v>
      </c>
      <c r="CC24" s="16">
        <f>VLOOKUP($CA24,$AS22:$BA25,8,FALSE)</f>
        <v>0</v>
      </c>
      <c r="CD24" s="16">
        <f>VLOOKUP($CA24,$AS22:$BA25,6,FALSE)</f>
        <v>2</v>
      </c>
      <c r="CH24" s="16" t="str">
        <f>CA24</f>
        <v>Om des Keijzers baerdt</v>
      </c>
      <c r="CI24" s="16">
        <f>VLOOKUP($CH24,$AS22:$BA25,2,FALSE)</f>
        <v>2</v>
      </c>
      <c r="CJ24" s="16">
        <f>VLOOKUP($CH24,$AS22:$BA25,3,FALSE)</f>
        <v>1</v>
      </c>
      <c r="CK24" s="16">
        <f>VLOOKUP($CH24,$AS22:$BA25,4,FALSE)</f>
        <v>1</v>
      </c>
      <c r="CL24" s="16">
        <f>VLOOKUP($CH24,$AS22:$BA25,5,FALSE)</f>
        <v>0</v>
      </c>
      <c r="CM24" s="16">
        <f>VLOOKUP($CH24,$AS22:$BA25,6,FALSE)</f>
        <v>2</v>
      </c>
      <c r="CN24" s="16">
        <f>VLOOKUP($CH24,$AS22:$BA25,7,FALSE)</f>
        <v>2</v>
      </c>
      <c r="CO24" s="16">
        <f>VLOOKUP($CH24,$AS22:$BA25,8,FALSE)</f>
        <v>0</v>
      </c>
      <c r="CP24" s="16">
        <f>VLOOKUP($CH24,$AS22:$BA25,9,FALSE)</f>
        <v>3</v>
      </c>
      <c r="CR24" s="21" t="e">
        <f>#REF!</f>
        <v>#REF!</v>
      </c>
    </row>
    <row r="25" spans="1:96" ht="9.75" customHeight="1" thickBot="1" x14ac:dyDescent="0.25">
      <c r="A25" s="246" t="s">
        <v>85</v>
      </c>
      <c r="B25" s="339"/>
      <c r="C25" s="339"/>
      <c r="D25" s="124" t="s">
        <v>86</v>
      </c>
      <c r="E25" s="124"/>
      <c r="F25" s="124"/>
      <c r="G25" s="124"/>
      <c r="H25" s="124"/>
      <c r="I25" s="515" t="s">
        <v>15</v>
      </c>
      <c r="J25" s="515"/>
      <c r="K25" s="515"/>
      <c r="L25" s="526"/>
      <c r="M25" s="526"/>
      <c r="N25" s="526"/>
      <c r="O25" s="526"/>
      <c r="P25" s="527"/>
      <c r="R25" s="246" t="s">
        <v>85</v>
      </c>
      <c r="S25" s="339"/>
      <c r="T25" s="339"/>
      <c r="U25" s="124" t="s">
        <v>86</v>
      </c>
      <c r="V25" s="124"/>
      <c r="W25" s="124"/>
      <c r="X25" s="124"/>
      <c r="Y25" s="124"/>
      <c r="Z25" s="515" t="s">
        <v>15</v>
      </c>
      <c r="AA25" s="515"/>
      <c r="AB25" s="515"/>
      <c r="AC25" s="526"/>
      <c r="AD25" s="526"/>
      <c r="AE25" s="526"/>
      <c r="AF25" s="526"/>
      <c r="AG25" s="527"/>
      <c r="AH25" s="65" t="s">
        <v>136</v>
      </c>
      <c r="AI25" s="63" t="s">
        <v>135</v>
      </c>
      <c r="AJ25" s="63">
        <f>I46</f>
        <v>1</v>
      </c>
      <c r="AK25" s="234">
        <f>K46</f>
        <v>2</v>
      </c>
      <c r="AL25" s="77" t="s">
        <v>144</v>
      </c>
      <c r="AM25" s="47" t="s">
        <v>145</v>
      </c>
      <c r="AN25" s="44" t="s">
        <v>137</v>
      </c>
      <c r="AO25" s="45" t="str">
        <f t="shared" si="4"/>
        <v>Saudi Arabia</v>
      </c>
      <c r="AP25" s="45" t="str">
        <f t="shared" si="5"/>
        <v>Cameroon</v>
      </c>
      <c r="AQ25" s="45"/>
      <c r="AS25" s="16" t="str">
        <f>KWALIFICATIE!S9</f>
        <v>Amsterdam Finest ss16</v>
      </c>
      <c r="AT25" s="16">
        <f>COUNT(Costa_Rica_Played)</f>
        <v>2</v>
      </c>
      <c r="AU25" s="16">
        <f>COUNTIF(Groupstage_Winners,"Costa Rica")</f>
        <v>1</v>
      </c>
      <c r="AV25" s="16">
        <f>COUNTIF(Groupstage_Losers,"Costa Rica")</f>
        <v>1</v>
      </c>
      <c r="AW25" s="16">
        <f>AT25-(AU25+AV25)</f>
        <v>0</v>
      </c>
      <c r="AX25" s="16">
        <f>SUM(Costa_Rica_Played)</f>
        <v>4</v>
      </c>
      <c r="AY25" s="16">
        <f>SUM(Costa_Rica_Against)</f>
        <v>7</v>
      </c>
      <c r="AZ25" s="16">
        <f>AX25-AY25</f>
        <v>-3</v>
      </c>
      <c r="BA25" s="16">
        <f t="shared" si="12"/>
        <v>3</v>
      </c>
      <c r="BB25" s="16" t="str">
        <f>IF($BA25&lt;=$BA24,$AS25,$AS24)</f>
        <v>Amsterdam Finest ss16</v>
      </c>
      <c r="BC25" s="16">
        <f>VLOOKUP($BB25,$AS22:$BA25,9,FALSE)</f>
        <v>3</v>
      </c>
      <c r="BD25" s="16" t="str">
        <f>IF(BC25&lt;=BC23,BB25,BB23)</f>
        <v>Amsterdam Finest ss16</v>
      </c>
      <c r="BE25" s="16">
        <f>VLOOKUP($BD25,$AS22:$BA25,9,FALSE)</f>
        <v>3</v>
      </c>
      <c r="BF25" s="16" t="str">
        <f>IF($BE25&lt;=$BE22,$BD25,$BD22)</f>
        <v>Amsterdam Finest ss16</v>
      </c>
      <c r="BG25" s="16">
        <f>VLOOKUP($BF25,$AS22:$BA25,9,FALSE)</f>
        <v>3</v>
      </c>
      <c r="BH25" s="16">
        <f>VLOOKUP($BF25,$AS22:$BA25,8,FALSE)</f>
        <v>-3</v>
      </c>
      <c r="BI25" s="16" t="str">
        <f>IF(AND($BG24=$BG25,$BH25&gt;$BH24),$BF24,$BF25)</f>
        <v>Amsterdam Finest ss16</v>
      </c>
      <c r="BJ25" s="16">
        <f>VLOOKUP($BI25,$AS22:$BA25,9,FALSE)</f>
        <v>3</v>
      </c>
      <c r="BK25" s="16">
        <f>VLOOKUP($BI25,$AS22:$BA25,8,FALSE)</f>
        <v>-3</v>
      </c>
      <c r="BL25" s="16" t="str">
        <f>IF(AND($BJ23=$BJ25,$BK25&gt;$BK23),$BI23,$BI25)</f>
        <v>Amsterdam Finest ss16</v>
      </c>
      <c r="BM25" s="16">
        <f>VLOOKUP($BL25,$AS22:$BA25,9,FALSE)</f>
        <v>3</v>
      </c>
      <c r="BN25" s="16">
        <f>VLOOKUP($BL25,$AS22:$BA25,8,FALSE)</f>
        <v>-3</v>
      </c>
      <c r="BO25" s="16" t="str">
        <f>IF(AND($BM22=$BM25,$BN25&gt;$BN22),$BL22,$BL25)</f>
        <v>Amsterdam Finest ss16</v>
      </c>
      <c r="BP25" s="16">
        <f>VLOOKUP($BO25,$AS22:$BA25,9,FALSE)</f>
        <v>3</v>
      </c>
      <c r="BQ25" s="16">
        <f>VLOOKUP($BO25,$AS22:$BA25,8,FALSE)</f>
        <v>-3</v>
      </c>
      <c r="BR25" s="16">
        <f>VLOOKUP($BO25,$AS22:$BA25,6,FALSE)</f>
        <v>4</v>
      </c>
      <c r="BS25" s="16" t="str">
        <f>IF(AND($BP24=$BP25,$BQ24=$BQ25,$BR25&gt;$BR24),$BO24,$BO25)</f>
        <v>Amsterdam Finest ss16</v>
      </c>
      <c r="BT25" s="16">
        <f>VLOOKUP($BS25,$AS22:$BA25,9,FALSE)</f>
        <v>3</v>
      </c>
      <c r="BU25" s="16">
        <f>VLOOKUP($BS25,$AS22:$BA25,8,FALSE)</f>
        <v>-3</v>
      </c>
      <c r="BV25" s="16">
        <f>VLOOKUP($BS25,$AS22:$BA25,6,FALSE)</f>
        <v>4</v>
      </c>
      <c r="BW25" s="16" t="str">
        <f>IF(AND($BT23=$BT25,$BU23=$BU25,$BV25&gt;$BV23),$BS23,$BS25)</f>
        <v>Amsterdam Finest ss16</v>
      </c>
      <c r="BX25" s="16">
        <f>VLOOKUP($BW25,$AS22:$BA25,9,FALSE)</f>
        <v>3</v>
      </c>
      <c r="BY25" s="16">
        <f>VLOOKUP($BW25,$AS22:$BA25,8,FALSE)</f>
        <v>-3</v>
      </c>
      <c r="BZ25" s="16">
        <f>VLOOKUP($BW25,$AS22:$BA25,6,FALSE)</f>
        <v>4</v>
      </c>
      <c r="CA25" s="16" t="str">
        <f>IF(AND($BX22=$BX25,$BY22=$BY25,$BZ25&gt;$BZ22),$BW22,$BW25)</f>
        <v>Amsterdam Finest ss16</v>
      </c>
      <c r="CB25" s="16">
        <f>VLOOKUP($CA25,$AS22:$BA25,9,FALSE)</f>
        <v>3</v>
      </c>
      <c r="CC25" s="16">
        <f>VLOOKUP($CA25,$AS22:$BA25,8,FALSE)</f>
        <v>-3</v>
      </c>
      <c r="CD25" s="16">
        <f>VLOOKUP($CA25,$AS22:$BA25,6,FALSE)</f>
        <v>4</v>
      </c>
      <c r="CH25" s="16" t="str">
        <f>CA25</f>
        <v>Amsterdam Finest ss16</v>
      </c>
      <c r="CI25" s="16">
        <f>VLOOKUP($CH25,$AS22:$BA25,2,FALSE)</f>
        <v>2</v>
      </c>
      <c r="CJ25" s="16">
        <f>VLOOKUP($CH25,$AS22:$BA25,3,FALSE)</f>
        <v>1</v>
      </c>
      <c r="CK25" s="16">
        <f>VLOOKUP($CH25,$AS22:$BA25,4,FALSE)</f>
        <v>1</v>
      </c>
      <c r="CL25" s="16">
        <f>VLOOKUP($CH25,$AS22:$BA25,5,FALSE)</f>
        <v>0</v>
      </c>
      <c r="CM25" s="16">
        <f>VLOOKUP($CH25,$AS22:$BA25,6,FALSE)</f>
        <v>4</v>
      </c>
      <c r="CN25" s="16">
        <f>VLOOKUP($CH25,$AS22:$BA25,7,FALSE)</f>
        <v>7</v>
      </c>
      <c r="CO25" s="16">
        <f>VLOOKUP($CH25,$AS22:$BA25,8,FALSE)</f>
        <v>-3</v>
      </c>
      <c r="CP25" s="16">
        <f>VLOOKUP($CH25,$AS22:$BA25,9,FALSE)</f>
        <v>3</v>
      </c>
      <c r="CR25" s="21" t="e">
        <f>#REF!</f>
        <v>#REF!</v>
      </c>
    </row>
    <row r="26" spans="1:96" ht="12.95" customHeight="1" thickBot="1" x14ac:dyDescent="0.25">
      <c r="A26" s="520">
        <f>START!C2</f>
        <v>0.4375</v>
      </c>
      <c r="B26" s="518"/>
      <c r="C26" s="283"/>
      <c r="D26" s="337" t="str">
        <f>AS22</f>
        <v>De Kabel</v>
      </c>
      <c r="E26" s="283" t="s">
        <v>16</v>
      </c>
      <c r="F26" s="518" t="str">
        <f>AS23</f>
        <v>Om des Keijzers baerdt</v>
      </c>
      <c r="G26" s="518"/>
      <c r="H26" s="518"/>
      <c r="I26" s="165">
        <f>KWALIFICATIE!O32</f>
        <v>2</v>
      </c>
      <c r="J26" s="334" t="s">
        <v>16</v>
      </c>
      <c r="K26" s="166">
        <f>KWALIFICATIE!Q32</f>
        <v>0</v>
      </c>
      <c r="L26" s="518"/>
      <c r="M26" s="518"/>
      <c r="N26" s="518"/>
      <c r="O26" s="518"/>
      <c r="P26" s="519"/>
      <c r="Q26" s="29"/>
      <c r="R26" s="520">
        <f>START!C3</f>
        <v>0.44791666666666669</v>
      </c>
      <c r="S26" s="518"/>
      <c r="T26" s="283"/>
      <c r="U26" s="337" t="str">
        <f>AS29</f>
        <v>IAMB&amp;B</v>
      </c>
      <c r="V26" s="283" t="s">
        <v>16</v>
      </c>
      <c r="W26" s="518" t="str">
        <f>AS30</f>
        <v>FC Papa</v>
      </c>
      <c r="X26" s="518"/>
      <c r="Y26" s="518"/>
      <c r="Z26" s="165">
        <f>KWALIFICATIE!O36</f>
        <v>4</v>
      </c>
      <c r="AA26" s="334" t="s">
        <v>16</v>
      </c>
      <c r="AB26" s="166">
        <f>KWALIFICATIE!Q36</f>
        <v>0</v>
      </c>
      <c r="AC26" s="518"/>
      <c r="AD26" s="518"/>
      <c r="AE26" s="518"/>
      <c r="AF26" s="518"/>
      <c r="AG26" s="519"/>
      <c r="AH26" s="65" t="s">
        <v>122</v>
      </c>
      <c r="AI26" s="63" t="s">
        <v>121</v>
      </c>
      <c r="AJ26" s="63" t="str">
        <f>I14</f>
        <v>…</v>
      </c>
      <c r="AK26" s="234" t="str">
        <f>K14</f>
        <v>…</v>
      </c>
      <c r="AL26" s="77" t="s">
        <v>140</v>
      </c>
      <c r="AM26" s="56" t="s">
        <v>141</v>
      </c>
      <c r="AN26" s="44" t="s">
        <v>123</v>
      </c>
      <c r="AO26" s="45" t="str">
        <f t="shared" si="4"/>
        <v>Draw</v>
      </c>
      <c r="AP26" s="45" t="str">
        <f t="shared" si="5"/>
        <v>Draw</v>
      </c>
      <c r="AQ26" s="45"/>
      <c r="CR26" s="21" t="e">
        <f>#REF!</f>
        <v>#REF!</v>
      </c>
    </row>
    <row r="27" spans="1:96" ht="12.95" customHeight="1" thickBot="1" x14ac:dyDescent="0.25">
      <c r="A27" s="520">
        <f>START!C2</f>
        <v>0.4375</v>
      </c>
      <c r="B27" s="518"/>
      <c r="C27" s="283"/>
      <c r="D27" s="24" t="str">
        <f>AS24</f>
        <v>Team Bombert</v>
      </c>
      <c r="E27" s="283" t="s">
        <v>16</v>
      </c>
      <c r="F27" s="518" t="str">
        <f>AS25</f>
        <v>Amsterdam Finest ss16</v>
      </c>
      <c r="G27" s="518"/>
      <c r="H27" s="518"/>
      <c r="I27" s="165">
        <f>KWALIFICATIE!O33</f>
        <v>7</v>
      </c>
      <c r="J27" s="334" t="s">
        <v>16</v>
      </c>
      <c r="K27" s="166">
        <f>KWALIFICATIE!Q33</f>
        <v>1</v>
      </c>
      <c r="L27" s="518"/>
      <c r="M27" s="518"/>
      <c r="N27" s="518"/>
      <c r="O27" s="518"/>
      <c r="P27" s="519"/>
      <c r="Q27" s="29"/>
      <c r="R27" s="520">
        <f>R26</f>
        <v>0.44791666666666669</v>
      </c>
      <c r="S27" s="518"/>
      <c r="T27" s="283"/>
      <c r="U27" s="24" t="str">
        <f>AS31</f>
        <v>Veddetero's klunzen</v>
      </c>
      <c r="V27" s="283" t="s">
        <v>16</v>
      </c>
      <c r="W27" s="518" t="str">
        <f>AS34</f>
        <v>FC Vondelpark</v>
      </c>
      <c r="X27" s="518"/>
      <c r="Y27" s="518"/>
      <c r="Z27" s="165">
        <f>KWALIFICATIE!O37</f>
        <v>0</v>
      </c>
      <c r="AA27" s="334" t="s">
        <v>16</v>
      </c>
      <c r="AB27" s="166">
        <f>KWALIFICATIE!Q37</f>
        <v>3</v>
      </c>
      <c r="AC27" s="518"/>
      <c r="AD27" s="518"/>
      <c r="AE27" s="518"/>
      <c r="AF27" s="518"/>
      <c r="AG27" s="519"/>
      <c r="AH27" s="65" t="s">
        <v>149</v>
      </c>
      <c r="AI27" s="63" t="s">
        <v>148</v>
      </c>
      <c r="AJ27" s="63" t="str">
        <f>Z46</f>
        <v>…</v>
      </c>
      <c r="AK27" s="234" t="str">
        <f>AB46</f>
        <v>…</v>
      </c>
      <c r="AL27" s="77" t="s">
        <v>157</v>
      </c>
      <c r="AM27" s="47" t="s">
        <v>158</v>
      </c>
      <c r="AN27" s="44" t="s">
        <v>127</v>
      </c>
      <c r="AO27" s="45" t="str">
        <f t="shared" si="4"/>
        <v>Draw</v>
      </c>
      <c r="AP27" s="45" t="str">
        <f t="shared" si="5"/>
        <v>Draw</v>
      </c>
      <c r="AQ27" s="45"/>
      <c r="AS27" s="16" t="s">
        <v>203</v>
      </c>
      <c r="CR27" s="21" t="e">
        <f>#REF!</f>
        <v>#REF!</v>
      </c>
    </row>
    <row r="28" spans="1:96" ht="12.95" customHeight="1" thickBot="1" x14ac:dyDescent="0.25">
      <c r="A28" s="520">
        <f>START!C6</f>
        <v>0.47916666666666669</v>
      </c>
      <c r="B28" s="518"/>
      <c r="C28" s="283"/>
      <c r="D28" s="24" t="str">
        <f>AS22</f>
        <v>De Kabel</v>
      </c>
      <c r="E28" s="283" t="s">
        <v>16</v>
      </c>
      <c r="F28" s="518" t="str">
        <f>AS24</f>
        <v>Team Bombert</v>
      </c>
      <c r="G28" s="518"/>
      <c r="H28" s="518"/>
      <c r="I28" s="165">
        <f>KWALIFICATIE!O56</f>
        <v>1</v>
      </c>
      <c r="J28" s="334" t="s">
        <v>16</v>
      </c>
      <c r="K28" s="166">
        <f>KWALIFICATIE!Q56</f>
        <v>1</v>
      </c>
      <c r="L28" s="518"/>
      <c r="M28" s="518"/>
      <c r="N28" s="518"/>
      <c r="O28" s="518"/>
      <c r="P28" s="519"/>
      <c r="R28" s="520">
        <f>START!C6</f>
        <v>0.47916666666666669</v>
      </c>
      <c r="S28" s="518"/>
      <c r="T28" s="283"/>
      <c r="U28" s="24" t="str">
        <f>AS29</f>
        <v>IAMB&amp;B</v>
      </c>
      <c r="V28" s="283" t="s">
        <v>16</v>
      </c>
      <c r="W28" s="518" t="str">
        <f>AS31</f>
        <v>Veddetero's klunzen</v>
      </c>
      <c r="X28" s="518"/>
      <c r="Y28" s="518"/>
      <c r="Z28" s="165">
        <f>KWALIFICATIE!O62</f>
        <v>3</v>
      </c>
      <c r="AA28" s="334" t="s">
        <v>16</v>
      </c>
      <c r="AB28" s="166">
        <f>KWALIFICATIE!Q62</f>
        <v>1</v>
      </c>
      <c r="AC28" s="518"/>
      <c r="AD28" s="518"/>
      <c r="AE28" s="518"/>
      <c r="AF28" s="518"/>
      <c r="AG28" s="519"/>
      <c r="AH28" s="65" t="s">
        <v>160</v>
      </c>
      <c r="AI28" s="63" t="s">
        <v>161</v>
      </c>
      <c r="AJ28" s="63">
        <f>Z13</f>
        <v>2</v>
      </c>
      <c r="AK28" s="234">
        <f>AB13</f>
        <v>0</v>
      </c>
      <c r="AL28" s="77" t="s">
        <v>151</v>
      </c>
      <c r="AM28" s="47" t="s">
        <v>150</v>
      </c>
      <c r="AN28" s="44" t="s">
        <v>154</v>
      </c>
      <c r="AO28" s="45" t="str">
        <f t="shared" si="4"/>
        <v>Spain</v>
      </c>
      <c r="AP28" s="45" t="str">
        <f t="shared" si="5"/>
        <v>Paraguay</v>
      </c>
      <c r="AQ28" s="45"/>
      <c r="AT28" s="16" t="s">
        <v>124</v>
      </c>
      <c r="AU28" s="16" t="s">
        <v>110</v>
      </c>
      <c r="AV28" s="16" t="s">
        <v>125</v>
      </c>
      <c r="AW28" s="16" t="s">
        <v>126</v>
      </c>
      <c r="AX28" s="16" t="s">
        <v>127</v>
      </c>
      <c r="AY28" s="16" t="s">
        <v>123</v>
      </c>
      <c r="AZ28" s="16" t="s">
        <v>128</v>
      </c>
      <c r="BA28" s="16" t="s">
        <v>129</v>
      </c>
      <c r="CR28" s="21" t="e">
        <f>#REF!</f>
        <v>#REF!</v>
      </c>
    </row>
    <row r="29" spans="1:96" ht="12.95" customHeight="1" thickBot="1" x14ac:dyDescent="0.25">
      <c r="A29" s="520">
        <f>A28</f>
        <v>0.47916666666666669</v>
      </c>
      <c r="B29" s="518"/>
      <c r="C29" s="283"/>
      <c r="D29" s="24" t="str">
        <f>AS25</f>
        <v>Amsterdam Finest ss16</v>
      </c>
      <c r="E29" s="283" t="s">
        <v>16</v>
      </c>
      <c r="F29" s="518" t="str">
        <f>AS23</f>
        <v>Om des Keijzers baerdt</v>
      </c>
      <c r="G29" s="518"/>
      <c r="H29" s="518"/>
      <c r="I29" s="165" t="str">
        <f>KWALIFICATIE!AQ67</f>
        <v>…</v>
      </c>
      <c r="J29" s="334" t="s">
        <v>16</v>
      </c>
      <c r="K29" s="166" t="str">
        <f>KWALIFICATIE!AS67</f>
        <v>…</v>
      </c>
      <c r="L29" s="518"/>
      <c r="M29" s="518"/>
      <c r="N29" s="518"/>
      <c r="O29" s="518"/>
      <c r="P29" s="519"/>
      <c r="R29" s="520">
        <f>R28</f>
        <v>0.47916666666666669</v>
      </c>
      <c r="S29" s="518"/>
      <c r="T29" s="283"/>
      <c r="U29" s="24" t="str">
        <f>AS34</f>
        <v>FC Vondelpark</v>
      </c>
      <c r="V29" s="283" t="s">
        <v>16</v>
      </c>
      <c r="W29" s="518" t="str">
        <f>AS30</f>
        <v>FC Papa</v>
      </c>
      <c r="X29" s="518"/>
      <c r="Y29" s="518"/>
      <c r="Z29" s="165">
        <f>KWALIFICATIE!AD29</f>
        <v>0</v>
      </c>
      <c r="AA29" s="334" t="s">
        <v>16</v>
      </c>
      <c r="AB29" s="166">
        <f>KWALIFICATIE!AF29</f>
        <v>2</v>
      </c>
      <c r="AC29" s="518"/>
      <c r="AD29" s="518"/>
      <c r="AE29" s="518"/>
      <c r="AF29" s="518"/>
      <c r="AG29" s="519"/>
      <c r="AH29" s="65" t="s">
        <v>155</v>
      </c>
      <c r="AI29" s="63" t="s">
        <v>156</v>
      </c>
      <c r="AJ29" s="63" t="str">
        <f>Z45</f>
        <v>…</v>
      </c>
      <c r="AK29" s="234" t="str">
        <f>AB45</f>
        <v>…</v>
      </c>
      <c r="AL29" s="77" t="s">
        <v>147</v>
      </c>
      <c r="AM29" s="47" t="s">
        <v>146</v>
      </c>
      <c r="AN29" s="44" t="s">
        <v>127</v>
      </c>
      <c r="AO29" s="45" t="str">
        <f t="shared" si="4"/>
        <v>Draw</v>
      </c>
      <c r="AP29" s="45" t="str">
        <f t="shared" si="5"/>
        <v>Draw</v>
      </c>
      <c r="AQ29" s="45"/>
      <c r="AS29" s="16" t="str">
        <f>KWALIFICATIE!Z5</f>
        <v>IAMB&amp;B</v>
      </c>
      <c r="AT29" s="16">
        <f>COUNT(South_Korea_Played)</f>
        <v>3</v>
      </c>
      <c r="AU29" s="16">
        <f>COUNTIF(Groupstage_Winners,"South Korea")</f>
        <v>2</v>
      </c>
      <c r="AV29" s="16">
        <f>COUNTIF(Groupstage_Losers,"South Korea")</f>
        <v>1</v>
      </c>
      <c r="AW29" s="16">
        <f>AT29-(AU29+AV29)</f>
        <v>0</v>
      </c>
      <c r="AX29" s="16">
        <f>SUM(South_Korea_Played)</f>
        <v>7</v>
      </c>
      <c r="AY29" s="16">
        <f>SUM(South_Korea_Against)</f>
        <v>5</v>
      </c>
      <c r="AZ29" s="16">
        <f>AX29-AY29</f>
        <v>2</v>
      </c>
      <c r="BA29" s="16">
        <f>SUM((AU29*3)+(AW29*1))</f>
        <v>6</v>
      </c>
      <c r="BB29" s="16" t="str">
        <f>IF($BA29&gt;=$BA30,$AS29,$AS30)</f>
        <v>IAMB&amp;B</v>
      </c>
      <c r="BC29" s="16">
        <f>VLOOKUP($BB29,$AS29:$BA34,9,FALSE)</f>
        <v>6</v>
      </c>
      <c r="BD29" s="16" t="str">
        <f>IF($BC29&gt;=$BC31,$BB29,$BB31)</f>
        <v>IAMB&amp;B</v>
      </c>
      <c r="BE29" s="16">
        <f>VLOOKUP($BD29,$AS29:$BA34,9,FALSE)</f>
        <v>6</v>
      </c>
      <c r="BF29" s="16" t="str">
        <f>IF($BE29&gt;=$BE34,$BD29,$BD34)</f>
        <v>IAMB&amp;B</v>
      </c>
      <c r="BG29" s="16">
        <f>VLOOKUP($BF29,$AS29:$BA34,9,FALSE)</f>
        <v>6</v>
      </c>
      <c r="BH29" s="16">
        <f>VLOOKUP($BF29,$AS29:$BA34,8,FALSE)</f>
        <v>2</v>
      </c>
      <c r="BI29" s="16" t="str">
        <f>IF(AND($BG29=$BG30,$BH30&gt;$BH29),$BF30,$BF29)</f>
        <v>IAMB&amp;B</v>
      </c>
      <c r="BJ29" s="16">
        <f>VLOOKUP($BI29,$AS29:$BA34,9,FALSE)</f>
        <v>6</v>
      </c>
      <c r="BK29" s="16">
        <f>VLOOKUP($BI29,$AS29:$BA34,8,FALSE)</f>
        <v>2</v>
      </c>
      <c r="BL29" s="16" t="str">
        <f>IF(AND($BJ29=$BJ31,$BK31&gt;$BK29),$BI31,$BI29)</f>
        <v>FC Vondelpark</v>
      </c>
      <c r="BM29" s="16">
        <f>VLOOKUP($BL29,$AS29:$BA34,9,FALSE)</f>
        <v>6</v>
      </c>
      <c r="BN29" s="16">
        <f>VLOOKUP($BL29,$AS29:$BA34,8,FALSE)</f>
        <v>5</v>
      </c>
      <c r="BO29" s="16" t="str">
        <f>IF(AND($BM29=$BM34,$BN34&gt;$BN29),$BL34,$BL29)</f>
        <v>FC Vondelpark</v>
      </c>
      <c r="BP29" s="16">
        <f>VLOOKUP($BO29,$AS29:$BA34,9,FALSE)</f>
        <v>6</v>
      </c>
      <c r="BQ29" s="16">
        <f>VLOOKUP($BO29,$AS29:$BA34,8,FALSE)</f>
        <v>5</v>
      </c>
      <c r="BR29" s="16">
        <f>VLOOKUP($BO29,$AS29:$BA34,6,FALSE)</f>
        <v>7</v>
      </c>
      <c r="BS29" s="16" t="str">
        <f>IF(AND($BP29=$BP30,$BQ29=$BQ30,$BR30&gt;$BR29),$BO30,$BO29)</f>
        <v>FC Vondelpark</v>
      </c>
      <c r="BT29" s="16">
        <f>VLOOKUP($BS29,$AS29:$BA34,9,FALSE)</f>
        <v>6</v>
      </c>
      <c r="BU29" s="16">
        <f>VLOOKUP($BS29,$AS29:$BA34,8,FALSE)</f>
        <v>5</v>
      </c>
      <c r="BV29" s="16">
        <f>VLOOKUP($BS29,$AS29:$BA34,6,FALSE)</f>
        <v>7</v>
      </c>
      <c r="BW29" s="16" t="str">
        <f>IF(AND($BT29=$BT31,$BU29=$BU31,$BV31&gt;$BV29),$BS31,$BS29)</f>
        <v>FC Vondelpark</v>
      </c>
      <c r="BX29" s="16">
        <f>VLOOKUP($BW29,$AS29:$BA34,9,FALSE)</f>
        <v>6</v>
      </c>
      <c r="BY29" s="16">
        <f>VLOOKUP($BW29,$AS29:$BA34,8,FALSE)</f>
        <v>5</v>
      </c>
      <c r="BZ29" s="16">
        <f>VLOOKUP($BW29,$AS29:$BA34,6,FALSE)</f>
        <v>7</v>
      </c>
      <c r="CA29" s="16" t="str">
        <f>IF(AND($BX29=$BX34,$BY29=$BY34,$BZ34&gt;$BZ29),$BW34,$BW29)</f>
        <v>FC Vondelpark</v>
      </c>
      <c r="CB29" s="16">
        <f>VLOOKUP($CA29,$AS29:$BA34,9,FALSE)</f>
        <v>6</v>
      </c>
      <c r="CC29" s="16">
        <f>VLOOKUP($CA29,$AS29:$BA34,8,FALSE)</f>
        <v>5</v>
      </c>
      <c r="CD29" s="16">
        <f>VLOOKUP($CA29,$AS29:$BA34,6,FALSE)</f>
        <v>7</v>
      </c>
      <c r="CH29" s="16" t="str">
        <f>CA29</f>
        <v>FC Vondelpark</v>
      </c>
      <c r="CI29" s="16">
        <f>VLOOKUP($CH29,$AS29:$BA34,2,FALSE)</f>
        <v>3</v>
      </c>
      <c r="CJ29" s="16">
        <f>VLOOKUP($CH29,$AS29:$BA34,3,FALSE)</f>
        <v>2</v>
      </c>
      <c r="CK29" s="16">
        <f>VLOOKUP($CH29,$AS29:$BA34,4,FALSE)</f>
        <v>1</v>
      </c>
      <c r="CL29" s="16">
        <f>VLOOKUP($CH29,$AS29:$BA34,5,FALSE)</f>
        <v>0</v>
      </c>
      <c r="CM29" s="16">
        <f>VLOOKUP($CH29,$AS29:$BA34,6,FALSE)</f>
        <v>7</v>
      </c>
      <c r="CN29" s="16">
        <f>VLOOKUP($CH29,$AS29:$BA34,7,FALSE)</f>
        <v>2</v>
      </c>
      <c r="CO29" s="16">
        <f>VLOOKUP($CH29,$AS29:$BA34,8,FALSE)</f>
        <v>5</v>
      </c>
      <c r="CP29" s="16">
        <f>VLOOKUP($CH29,$AS29:$BA34,9,FALSE)</f>
        <v>6</v>
      </c>
      <c r="CR29" s="21" t="e">
        <f>#REF!</f>
        <v>#REF!</v>
      </c>
    </row>
    <row r="30" spans="1:96" ht="12.95" customHeight="1" thickBot="1" x14ac:dyDescent="0.25">
      <c r="A30" s="520">
        <f>START!C9</f>
        <v>0.51041666666666663</v>
      </c>
      <c r="B30" s="518"/>
      <c r="C30" s="283"/>
      <c r="D30" s="24" t="str">
        <f>AS23</f>
        <v>Om des Keijzers baerdt</v>
      </c>
      <c r="E30" s="283" t="s">
        <v>16</v>
      </c>
      <c r="F30" s="518" t="str">
        <f>AS24</f>
        <v>Team Bombert</v>
      </c>
      <c r="G30" s="518"/>
      <c r="H30" s="518"/>
      <c r="I30" s="165">
        <f>KWALIFICATIE!AD64</f>
        <v>2</v>
      </c>
      <c r="J30" s="334" t="s">
        <v>16</v>
      </c>
      <c r="K30" s="166">
        <f>KWALIFICATIE!AF64</f>
        <v>0</v>
      </c>
      <c r="L30" s="518"/>
      <c r="M30" s="518"/>
      <c r="N30" s="518"/>
      <c r="O30" s="518"/>
      <c r="P30" s="519"/>
      <c r="R30" s="520">
        <f>START!C9</f>
        <v>0.51041666666666663</v>
      </c>
      <c r="S30" s="518"/>
      <c r="T30" s="283"/>
      <c r="U30" s="24" t="str">
        <f>AS30</f>
        <v>FC Papa</v>
      </c>
      <c r="V30" s="283" t="s">
        <v>16</v>
      </c>
      <c r="W30" s="518" t="str">
        <f>AS31</f>
        <v>Veddetero's klunzen</v>
      </c>
      <c r="X30" s="518"/>
      <c r="Y30" s="518"/>
      <c r="Z30" s="165">
        <f>EINDRONDE!O21</f>
        <v>2</v>
      </c>
      <c r="AA30" s="334" t="s">
        <v>16</v>
      </c>
      <c r="AB30" s="166">
        <f>EINDRONDE!Q21</f>
        <v>0</v>
      </c>
      <c r="AC30" s="518"/>
      <c r="AD30" s="518"/>
      <c r="AE30" s="518"/>
      <c r="AF30" s="518"/>
      <c r="AG30" s="519"/>
      <c r="AH30" s="65" t="s">
        <v>153</v>
      </c>
      <c r="AI30" s="63" t="s">
        <v>152</v>
      </c>
      <c r="AJ30" s="63" t="str">
        <f>Z14</f>
        <v>…</v>
      </c>
      <c r="AK30" s="234" t="str">
        <f>AB14</f>
        <v>…</v>
      </c>
      <c r="AL30" s="77" t="s">
        <v>162</v>
      </c>
      <c r="AM30" s="47" t="s">
        <v>163</v>
      </c>
      <c r="AN30" s="44" t="s">
        <v>154</v>
      </c>
      <c r="AO30" s="45" t="str">
        <f t="shared" si="4"/>
        <v>Draw</v>
      </c>
      <c r="AP30" s="45" t="str">
        <f t="shared" si="5"/>
        <v>Draw</v>
      </c>
      <c r="AQ30" s="45"/>
      <c r="AS30" s="16" t="str">
        <f>KWALIFICATIE!Z6</f>
        <v>FC Papa</v>
      </c>
      <c r="AT30" s="16">
        <f>COUNT(Poland_Played)</f>
        <v>3</v>
      </c>
      <c r="AU30" s="16">
        <f>COUNTIF(Groupstage_Winners,"Poland")</f>
        <v>2</v>
      </c>
      <c r="AV30" s="16">
        <f>COUNTIF(Groupstage_Losers,"Poland")</f>
        <v>1</v>
      </c>
      <c r="AW30" s="16">
        <f>AT30-(AU30+AV30)</f>
        <v>0</v>
      </c>
      <c r="AX30" s="16">
        <f>SUM(Poland_Played)</f>
        <v>4</v>
      </c>
      <c r="AY30" s="16">
        <f>SUM(Poland_Against)</f>
        <v>4</v>
      </c>
      <c r="AZ30" s="16">
        <f>AX30-AY30</f>
        <v>0</v>
      </c>
      <c r="BA30" s="16">
        <f t="shared" ref="BA30:BA34" si="13">SUM((AU30*3)+(AW30*1))</f>
        <v>6</v>
      </c>
      <c r="BB30" s="16" t="str">
        <f>IF($BA30&lt;=$BA29,$AS30,$AS29)</f>
        <v>FC Papa</v>
      </c>
      <c r="BC30" s="16">
        <f>VLOOKUP($BB30,$AS29:$BA34,9,FALSE)</f>
        <v>6</v>
      </c>
      <c r="BD30" s="16" t="str">
        <f>IF(BC30&gt;=BC34,BB30,BB34)</f>
        <v>FC Papa</v>
      </c>
      <c r="BE30" s="16">
        <f>VLOOKUP($BD30,$AS29:$BA34,9,FALSE)</f>
        <v>6</v>
      </c>
      <c r="BF30" s="16" t="str">
        <f>IF($BE30&gt;=$BE31,$BD30,$BD31)</f>
        <v>FC Papa</v>
      </c>
      <c r="BG30" s="16">
        <f>VLOOKUP($BF30,$AS29:$BA34,9,FALSE)</f>
        <v>6</v>
      </c>
      <c r="BH30" s="16">
        <f>VLOOKUP($BF30,$AS29:$BA34,8,FALSE)</f>
        <v>0</v>
      </c>
      <c r="BI30" s="16" t="str">
        <f>IF(AND($BG29=$BG30,$BH30&gt;$BH29),$BF29,$BF30)</f>
        <v>FC Papa</v>
      </c>
      <c r="BJ30" s="16">
        <f>VLOOKUP($BI30,$AS29:$BA34,9,FALSE)</f>
        <v>6</v>
      </c>
      <c r="BK30" s="16">
        <f>VLOOKUP($BI30,$AS29:$BA34,8,FALSE)</f>
        <v>0</v>
      </c>
      <c r="BL30" s="16" t="str">
        <f>IF(AND($BJ30=$BJ34,$BK34&gt;$BK30),$BI34,$BI30)</f>
        <v>FC Papa</v>
      </c>
      <c r="BM30" s="16">
        <f>VLOOKUP($BL30,$AS29:$BA34,9,FALSE)</f>
        <v>6</v>
      </c>
      <c r="BN30" s="16">
        <f>VLOOKUP($BL30,$AS29:$BA34,8,FALSE)</f>
        <v>0</v>
      </c>
      <c r="BO30" s="16" t="str">
        <f>IF(AND($BM30=$BM31,$BN31&gt;$BN30),$BL31,$BL30)</f>
        <v>IAMB&amp;B</v>
      </c>
      <c r="BP30" s="16">
        <f>VLOOKUP($BO30,$AS29:$BA34,9,FALSE)</f>
        <v>6</v>
      </c>
      <c r="BQ30" s="16">
        <f>VLOOKUP($BO30,$AS29:$BA34,8,FALSE)</f>
        <v>2</v>
      </c>
      <c r="BR30" s="16">
        <f>VLOOKUP($BO30,$AS29:$BA34,6,FALSE)</f>
        <v>7</v>
      </c>
      <c r="BS30" s="16" t="str">
        <f>IF(AND($BP29=$BP30,$BQ29=$BQ30,$BR30&gt;$BR29),$BO29,$BO30)</f>
        <v>IAMB&amp;B</v>
      </c>
      <c r="BT30" s="16">
        <f>VLOOKUP($BS30,$AS29:$BA34,9,FALSE)</f>
        <v>6</v>
      </c>
      <c r="BU30" s="16">
        <f>VLOOKUP($BS30,$AS29:$BA34,8,FALSE)</f>
        <v>2</v>
      </c>
      <c r="BV30" s="16">
        <f>VLOOKUP($BS30,$AS29:$BA34,6,FALSE)</f>
        <v>7</v>
      </c>
      <c r="BW30" s="16" t="str">
        <f>IF(AND($BT30=$BT34,$BU30=$BU34,$BV34&gt;$BV30),$BS34,$BS30)</f>
        <v>IAMB&amp;B</v>
      </c>
      <c r="BX30" s="16">
        <f>VLOOKUP($BW30,$AS29:$BA34,9,FALSE)</f>
        <v>6</v>
      </c>
      <c r="BY30" s="16">
        <f>VLOOKUP($BW30,$AS29:$BA34,8,FALSE)</f>
        <v>2</v>
      </c>
      <c r="BZ30" s="16">
        <f>VLOOKUP($BW30,$AS29:$BA34,6,FALSE)</f>
        <v>7</v>
      </c>
      <c r="CA30" s="16" t="str">
        <f>IF(AND($BX30=$BX31,$BY30=$BY31,$BZ31&gt;$BZ30),$BW31,$BW30)</f>
        <v>IAMB&amp;B</v>
      </c>
      <c r="CB30" s="16">
        <f>VLOOKUP($CA30,$AS29:$BA34,9,FALSE)</f>
        <v>6</v>
      </c>
      <c r="CC30" s="16">
        <f>VLOOKUP($CA30,$AS29:$BA34,8,FALSE)</f>
        <v>2</v>
      </c>
      <c r="CD30" s="16">
        <f>VLOOKUP($CA30,$AS29:$BA34,6,FALSE)</f>
        <v>7</v>
      </c>
      <c r="CH30" s="16" t="str">
        <f>CA30</f>
        <v>IAMB&amp;B</v>
      </c>
      <c r="CI30" s="16">
        <f>VLOOKUP($CH30,$AS29:$BA34,2,FALSE)</f>
        <v>3</v>
      </c>
      <c r="CJ30" s="16">
        <f>VLOOKUP($CH30,$AS29:$BA34,3,FALSE)</f>
        <v>2</v>
      </c>
      <c r="CK30" s="16">
        <f>VLOOKUP($CH30,$AS29:$BA34,4,FALSE)</f>
        <v>1</v>
      </c>
      <c r="CL30" s="16">
        <f>VLOOKUP($CH30,$AS29:$BA34,5,FALSE)</f>
        <v>0</v>
      </c>
      <c r="CM30" s="16">
        <f>VLOOKUP($CH30,$AS29:$BA34,6,FALSE)</f>
        <v>7</v>
      </c>
      <c r="CN30" s="16">
        <f>VLOOKUP($CH30,$AS29:$BA34,7,FALSE)</f>
        <v>5</v>
      </c>
      <c r="CO30" s="16">
        <f>VLOOKUP($CH30,$AS29:$BA34,8,FALSE)</f>
        <v>2</v>
      </c>
      <c r="CP30" s="16">
        <f>VLOOKUP($CH30,$AS29:$BA34,9,FALSE)</f>
        <v>6</v>
      </c>
      <c r="CR30" s="21" t="e">
        <f>#REF!</f>
        <v>#REF!</v>
      </c>
    </row>
    <row r="31" spans="1:96" ht="12.95" customHeight="1" thickBot="1" x14ac:dyDescent="0.25">
      <c r="A31" s="528">
        <f>A30</f>
        <v>0.51041666666666663</v>
      </c>
      <c r="B31" s="529"/>
      <c r="C31" s="272"/>
      <c r="D31" s="30" t="str">
        <f>AS25</f>
        <v>Amsterdam Finest ss16</v>
      </c>
      <c r="E31" s="272" t="s">
        <v>16</v>
      </c>
      <c r="F31" s="529" t="str">
        <f>AS22</f>
        <v>De Kabel</v>
      </c>
      <c r="G31" s="529"/>
      <c r="H31" s="529"/>
      <c r="I31" s="248">
        <f>KWALIFICATIE!AD65</f>
        <v>3</v>
      </c>
      <c r="J31" s="247" t="s">
        <v>16</v>
      </c>
      <c r="K31" s="249">
        <f>KWALIFICATIE!AF65</f>
        <v>0</v>
      </c>
      <c r="L31" s="529"/>
      <c r="M31" s="529"/>
      <c r="N31" s="529"/>
      <c r="O31" s="529"/>
      <c r="P31" s="530"/>
      <c r="R31" s="528">
        <f>R30</f>
        <v>0.51041666666666663</v>
      </c>
      <c r="S31" s="529"/>
      <c r="T31" s="272"/>
      <c r="U31" s="30" t="str">
        <f>AS34</f>
        <v>FC Vondelpark</v>
      </c>
      <c r="V31" s="272" t="s">
        <v>16</v>
      </c>
      <c r="W31" s="529" t="str">
        <f>AS29</f>
        <v>IAMB&amp;B</v>
      </c>
      <c r="X31" s="529"/>
      <c r="Y31" s="529"/>
      <c r="Z31" s="248">
        <f>EINDRONDE!O22</f>
        <v>4</v>
      </c>
      <c r="AA31" s="247" t="s">
        <v>16</v>
      </c>
      <c r="AB31" s="249">
        <f>EINDRONDE!Q22</f>
        <v>0</v>
      </c>
      <c r="AC31" s="529"/>
      <c r="AD31" s="529"/>
      <c r="AE31" s="529"/>
      <c r="AF31" s="529"/>
      <c r="AG31" s="530"/>
      <c r="AH31" s="65" t="s">
        <v>173</v>
      </c>
      <c r="AI31" s="63" t="s">
        <v>174</v>
      </c>
      <c r="AJ31" s="63" t="e">
        <f>I60</f>
        <v>#REF!</v>
      </c>
      <c r="AK31" s="234" t="e">
        <f>K60</f>
        <v>#REF!</v>
      </c>
      <c r="AL31" s="77" t="s">
        <v>165</v>
      </c>
      <c r="AM31" s="47" t="s">
        <v>164</v>
      </c>
      <c r="AN31" s="44" t="s">
        <v>111</v>
      </c>
      <c r="AO31" s="45" t="e">
        <f>IF(AJ31&lt;&gt;"",IF(AJ31&gt;AK31,AI31,IF(AK31&gt;AJ31,AL31,"Draw")),"")</f>
        <v>#REF!</v>
      </c>
      <c r="AP31" s="45" t="e">
        <f>IF(AJ31&lt;&gt;"",IF(AJ31&lt;AK31,AI31,IF(AK31&lt;AJ31,AL31,"Draw")),"")</f>
        <v>#REF!</v>
      </c>
      <c r="AQ31" s="45"/>
      <c r="AS31" s="16" t="str">
        <f>KWALIFICATIE!Z7</f>
        <v>Veddetero's klunzen</v>
      </c>
      <c r="AT31" s="16">
        <f>COUNT(USA_Played)</f>
        <v>3</v>
      </c>
      <c r="AU31" s="16">
        <f>COUNTIF(Groupstage_Winners,"USA")</f>
        <v>0</v>
      </c>
      <c r="AV31" s="16">
        <f>COUNTIF(Groupstage_Losers,"USA")</f>
        <v>3</v>
      </c>
      <c r="AW31" s="16">
        <f>AT31-(AU31+AV31)</f>
        <v>0</v>
      </c>
      <c r="AX31" s="16">
        <f>SUM(USA_Played)</f>
        <v>1</v>
      </c>
      <c r="AY31" s="16">
        <f>SUM(USA_Against)</f>
        <v>8</v>
      </c>
      <c r="AZ31" s="16">
        <f>AX31-AY31</f>
        <v>-7</v>
      </c>
      <c r="BA31" s="16">
        <f t="shared" si="13"/>
        <v>0</v>
      </c>
      <c r="BB31" s="16" t="str">
        <f>IF($BA31&gt;=$BA34,$AS31,$AS34)</f>
        <v>FC Vondelpark</v>
      </c>
      <c r="BC31" s="16">
        <f>VLOOKUP($BB31,$AS29:$BA34,9,FALSE)</f>
        <v>6</v>
      </c>
      <c r="BD31" s="16" t="str">
        <f>IF($BC31&lt;=$BC29,$BB31,$BB29)</f>
        <v>FC Vondelpark</v>
      </c>
      <c r="BE31" s="16">
        <f>VLOOKUP($BD31,$AS29:$BA34,9,FALSE)</f>
        <v>6</v>
      </c>
      <c r="BF31" s="16" t="str">
        <f>IF($BE31&lt;=$BE30,$BD31,$BD30)</f>
        <v>FC Vondelpark</v>
      </c>
      <c r="BG31" s="16">
        <f>VLOOKUP($BF31,$AS29:$BA34,9,FALSE)</f>
        <v>6</v>
      </c>
      <c r="BH31" s="16">
        <f>VLOOKUP($BF31,$AS29:$BA34,8,FALSE)</f>
        <v>5</v>
      </c>
      <c r="BI31" s="16" t="str">
        <f>IF(AND($BG31=$BG34,$BH34&gt;$BH31),$BF34,$BF31)</f>
        <v>FC Vondelpark</v>
      </c>
      <c r="BJ31" s="16">
        <f>VLOOKUP($BI31,$AS29:$BA34,9,FALSE)</f>
        <v>6</v>
      </c>
      <c r="BK31" s="16">
        <f>VLOOKUP($BI31,$AS29:$BA34,8,FALSE)</f>
        <v>5</v>
      </c>
      <c r="BL31" s="16" t="str">
        <f>IF(AND($BJ29=$BJ31,$BK31&gt;$BK29),$BI29,$BI31)</f>
        <v>IAMB&amp;B</v>
      </c>
      <c r="BM31" s="16">
        <f>VLOOKUP($BL31,$AS29:$BA34,9,FALSE)</f>
        <v>6</v>
      </c>
      <c r="BN31" s="16">
        <f>VLOOKUP($BL31,$AS29:$BA34,8,FALSE)</f>
        <v>2</v>
      </c>
      <c r="BO31" s="16" t="str">
        <f>IF(AND($BM30=$BM31,$BN31&gt;$BN30),$BL30,$BL31)</f>
        <v>FC Papa</v>
      </c>
      <c r="BP31" s="16">
        <f>VLOOKUP($BO31,$AS29:$BA34,9,FALSE)</f>
        <v>6</v>
      </c>
      <c r="BQ31" s="16">
        <f>VLOOKUP($BO31,$AS29:$BA34,8,FALSE)</f>
        <v>0</v>
      </c>
      <c r="BR31" s="16">
        <f>VLOOKUP($BO31,$AS29:$BA34,6,FALSE)</f>
        <v>4</v>
      </c>
      <c r="BS31" s="16" t="str">
        <f>IF(AND($BP31=$BP34,$BQ31=$BQ34,$BR34&gt;$BR31),$BO34,$BO31)</f>
        <v>FC Papa</v>
      </c>
      <c r="BT31" s="16">
        <f>VLOOKUP($BS31,$AS29:$BA34,9,FALSE)</f>
        <v>6</v>
      </c>
      <c r="BU31" s="16">
        <f>VLOOKUP($BS31,$AS29:$BA34,8,FALSE)</f>
        <v>0</v>
      </c>
      <c r="BV31" s="16">
        <f>VLOOKUP($BS31,$AS29:$BA34,6,FALSE)</f>
        <v>4</v>
      </c>
      <c r="BW31" s="16" t="str">
        <f>IF(AND($BT29=$BT31,$BU29=$BU31,$BV30&gt;$BV29),$BS29,$BS31)</f>
        <v>FC Papa</v>
      </c>
      <c r="BX31" s="16">
        <f>VLOOKUP($BW31,$AS29:$BA34,9,FALSE)</f>
        <v>6</v>
      </c>
      <c r="BY31" s="16">
        <f>VLOOKUP($BW31,$AS29:$BA34,8,FALSE)</f>
        <v>0</v>
      </c>
      <c r="BZ31" s="16">
        <f>VLOOKUP($BW31,$AS29:$BA34,6,FALSE)</f>
        <v>4</v>
      </c>
      <c r="CA31" s="16" t="str">
        <f>IF(AND($BX30=$BX31,$BY30=$BY31,$BZ31&gt;$BZ30),$BW30,$BW31)</f>
        <v>FC Papa</v>
      </c>
      <c r="CB31" s="16">
        <f>VLOOKUP($CA31,$AS29:$BA34,9,FALSE)</f>
        <v>6</v>
      </c>
      <c r="CC31" s="16">
        <f>VLOOKUP($CA31,$AS29:$BA34,8,FALSE)</f>
        <v>0</v>
      </c>
      <c r="CD31" s="16">
        <f>VLOOKUP($CA31,$AS29:$BA34,6,FALSE)</f>
        <v>4</v>
      </c>
      <c r="CH31" s="16" t="str">
        <f>CA31</f>
        <v>FC Papa</v>
      </c>
      <c r="CI31" s="16">
        <f>VLOOKUP($CH31,$AS29:$BA34,2,FALSE)</f>
        <v>3</v>
      </c>
      <c r="CJ31" s="16">
        <f>VLOOKUP($CH31,$AS29:$BA34,3,FALSE)</f>
        <v>2</v>
      </c>
      <c r="CK31" s="16">
        <f>VLOOKUP($CH31,$AS29:$BA34,4,FALSE)</f>
        <v>1</v>
      </c>
      <c r="CL31" s="16">
        <f>VLOOKUP($CH31,$AS29:$BA34,5,FALSE)</f>
        <v>0</v>
      </c>
      <c r="CM31" s="16">
        <f>VLOOKUP($CH31,$AS29:$BA34,6,FALSE)</f>
        <v>4</v>
      </c>
      <c r="CN31" s="16">
        <f>VLOOKUP($CH31,$AS29:$BA34,7,FALSE)</f>
        <v>4</v>
      </c>
      <c r="CO31" s="16">
        <f>VLOOKUP($CH31,$AS29:$BA34,8,FALSE)</f>
        <v>0</v>
      </c>
      <c r="CP31" s="16">
        <f>VLOOKUP($CH31,$AS29:$BA34,9,FALSE)</f>
        <v>6</v>
      </c>
      <c r="CR31" s="21" t="e">
        <f>#REF!</f>
        <v>#REF!</v>
      </c>
    </row>
    <row r="32" spans="1:96" ht="34.5" thickBot="1" x14ac:dyDescent="0.55000000000000004">
      <c r="A32" s="521" t="s">
        <v>204</v>
      </c>
      <c r="B32" s="521"/>
      <c r="C32" s="521"/>
      <c r="D32" s="521"/>
      <c r="E32" s="521"/>
      <c r="F32" s="521"/>
      <c r="G32" s="521"/>
      <c r="H32" s="521"/>
      <c r="I32" s="521"/>
      <c r="J32" s="521"/>
      <c r="K32" s="521"/>
      <c r="L32" s="521"/>
      <c r="M32" s="521"/>
      <c r="N32" s="521"/>
      <c r="O32" s="521"/>
      <c r="P32" s="521"/>
      <c r="Q32" s="521"/>
      <c r="R32" s="521"/>
      <c r="S32" s="521"/>
      <c r="T32" s="521"/>
      <c r="U32" s="521"/>
      <c r="V32" s="521"/>
      <c r="W32" s="521"/>
      <c r="X32" s="521"/>
      <c r="Y32" s="521"/>
      <c r="Z32" s="521"/>
      <c r="AA32" s="521"/>
      <c r="AB32" s="521"/>
      <c r="AC32" s="521"/>
      <c r="AD32" s="521"/>
      <c r="AE32" s="521"/>
      <c r="AF32" s="521"/>
      <c r="AG32" s="521"/>
      <c r="AH32" s="63"/>
      <c r="AJ32" s="237"/>
      <c r="AK32" s="60"/>
      <c r="AL32" s="60"/>
      <c r="AM32" s="53"/>
      <c r="AN32" s="17"/>
      <c r="AO32" s="17"/>
      <c r="AP32" s="17"/>
      <c r="AQ32" s="17"/>
      <c r="BA32" s="16">
        <f t="shared" si="13"/>
        <v>0</v>
      </c>
    </row>
    <row r="33" spans="1:96" ht="24.75" hidden="1" customHeight="1" thickBot="1" x14ac:dyDescent="0.35">
      <c r="A33" s="537" t="s">
        <v>205</v>
      </c>
      <c r="B33" s="537"/>
      <c r="C33" s="537"/>
      <c r="D33" s="537"/>
      <c r="E33" s="537"/>
      <c r="F33" s="537"/>
      <c r="G33" s="537"/>
      <c r="H33" s="537"/>
      <c r="I33" s="537"/>
      <c r="J33" s="537"/>
      <c r="K33" s="537"/>
      <c r="L33" s="537"/>
      <c r="M33" s="537"/>
      <c r="N33" s="537"/>
      <c r="O33" s="537"/>
      <c r="P33" s="537"/>
      <c r="Q33" s="537"/>
      <c r="R33" s="537"/>
      <c r="S33" s="537"/>
      <c r="T33" s="537"/>
      <c r="U33" s="537"/>
      <c r="V33" s="537"/>
      <c r="W33" s="537"/>
      <c r="X33" s="537"/>
      <c r="Y33" s="537"/>
      <c r="Z33" s="537"/>
      <c r="AA33" s="537"/>
      <c r="AB33" s="537"/>
      <c r="AC33" s="537"/>
      <c r="AD33" s="537"/>
      <c r="AE33" s="537"/>
      <c r="AF33" s="537"/>
      <c r="AG33" s="537"/>
      <c r="AH33" s="63"/>
      <c r="AJ33" s="237"/>
      <c r="AK33" s="60"/>
      <c r="AL33" s="60"/>
      <c r="AM33" s="53"/>
      <c r="AN33" s="17"/>
      <c r="AO33" s="17"/>
      <c r="AP33" s="17"/>
      <c r="AQ33" s="17"/>
      <c r="BA33" s="16">
        <f t="shared" si="13"/>
        <v>0</v>
      </c>
    </row>
    <row r="34" spans="1:96" ht="13.5" thickBot="1" x14ac:dyDescent="0.25">
      <c r="A34" s="262"/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9"/>
      <c r="Y34" s="269"/>
      <c r="Z34" s="269"/>
      <c r="AA34" s="269"/>
      <c r="AB34" s="269"/>
      <c r="AC34" s="269"/>
      <c r="AD34" s="269"/>
      <c r="AE34" s="269"/>
      <c r="AF34" s="269"/>
      <c r="AG34" s="269"/>
      <c r="AH34" s="65" t="s">
        <v>168</v>
      </c>
      <c r="AI34" s="63" t="s">
        <v>169</v>
      </c>
      <c r="AJ34" s="63">
        <f>I28</f>
        <v>1</v>
      </c>
      <c r="AK34" s="234">
        <f>K28</f>
        <v>1</v>
      </c>
      <c r="AL34" s="77" t="s">
        <v>178</v>
      </c>
      <c r="AM34" s="47" t="s">
        <v>177</v>
      </c>
      <c r="AN34" s="44" t="s">
        <v>172</v>
      </c>
      <c r="AO34" s="45" t="str">
        <f>IF(AJ34&lt;&gt;"",IF(AJ34&gt;AK34,AI34,IF(AK34&gt;AJ34,AL34,"Draw")),"")</f>
        <v>Draw</v>
      </c>
      <c r="AP34" s="45" t="str">
        <f>IF(AJ34&lt;&gt;"",IF(AJ34&lt;AK34,AI34,IF(AK34&lt;AJ34,AL34,"Draw")),"")</f>
        <v>Draw</v>
      </c>
      <c r="AQ34" s="45"/>
      <c r="AS34" s="16" t="str">
        <f>KWALIFICATIE!Z9</f>
        <v>FC Vondelpark</v>
      </c>
      <c r="AT34" s="16">
        <f>COUNT(Portugal_Played)</f>
        <v>3</v>
      </c>
      <c r="AU34" s="16">
        <f>COUNTIF(Groupstage_Winners,"Portugal")</f>
        <v>2</v>
      </c>
      <c r="AV34" s="16">
        <f>COUNTIF(Groupstage_Losers,"Portugal")</f>
        <v>1</v>
      </c>
      <c r="AW34" s="16">
        <f>AT34-(AU34+AV34)</f>
        <v>0</v>
      </c>
      <c r="AX34" s="16">
        <f>SUM(Portugal_Played)</f>
        <v>7</v>
      </c>
      <c r="AY34" s="16">
        <f>SUM(Portugal_Against)</f>
        <v>2</v>
      </c>
      <c r="AZ34" s="16">
        <f>AX34-AY34</f>
        <v>5</v>
      </c>
      <c r="BA34" s="16">
        <f t="shared" si="13"/>
        <v>6</v>
      </c>
      <c r="BB34" s="16" t="str">
        <f>IF($BA34&lt;=$BA31,$AS34,$AS31)</f>
        <v>Veddetero's klunzen</v>
      </c>
      <c r="BC34" s="16">
        <f>VLOOKUP($BB34,$AS29:$BA34,9,FALSE)</f>
        <v>0</v>
      </c>
      <c r="BD34" s="16" t="str">
        <f>IF(BC34&lt;=BC30,BB34,BB30)</f>
        <v>Veddetero's klunzen</v>
      </c>
      <c r="BE34" s="16">
        <f>VLOOKUP($BD34,$AS29:$BA34,9,FALSE)</f>
        <v>0</v>
      </c>
      <c r="BF34" s="16" t="str">
        <f>IF($BE34&lt;=$BE29,$BD34,$BD29)</f>
        <v>Veddetero's klunzen</v>
      </c>
      <c r="BG34" s="16">
        <f>VLOOKUP($BF34,$AS29:$BA34,9,FALSE)</f>
        <v>0</v>
      </c>
      <c r="BH34" s="16">
        <f>VLOOKUP($BF34,$AS29:$BA34,8,FALSE)</f>
        <v>-7</v>
      </c>
      <c r="BI34" s="16" t="str">
        <f>IF(AND($BG31=$BG34,$BH34&gt;$BH31),$BF31,$BF34)</f>
        <v>Veddetero's klunzen</v>
      </c>
      <c r="BJ34" s="16">
        <f>VLOOKUP($BI34,$AS29:$BA34,9,FALSE)</f>
        <v>0</v>
      </c>
      <c r="BK34" s="16">
        <f>VLOOKUP($BI34,$AS29:$BA34,8,FALSE)</f>
        <v>-7</v>
      </c>
      <c r="BL34" s="16" t="str">
        <f>IF(AND($BJ30=$BJ34,$BK34&gt;$BK30),$BI30,$BI34)</f>
        <v>Veddetero's klunzen</v>
      </c>
      <c r="BM34" s="16">
        <f>VLOOKUP($BL34,$AS29:$BA34,9,FALSE)</f>
        <v>0</v>
      </c>
      <c r="BN34" s="16">
        <f>VLOOKUP($BL34,$AS29:$BA34,8,FALSE)</f>
        <v>-7</v>
      </c>
      <c r="BO34" s="16" t="str">
        <f>IF(AND($BM29=$BM34,$BN34&gt;$BN29),$BL29,$BL34)</f>
        <v>Veddetero's klunzen</v>
      </c>
      <c r="BP34" s="16">
        <f>VLOOKUP($BO34,$AS29:$BA34,9,FALSE)</f>
        <v>0</v>
      </c>
      <c r="BQ34" s="16">
        <f>VLOOKUP($BO34,$AS29:$BA34,8,FALSE)</f>
        <v>-7</v>
      </c>
      <c r="BR34" s="16">
        <f>VLOOKUP($BO34,$AS29:$BA34,6,FALSE)</f>
        <v>1</v>
      </c>
      <c r="BS34" s="16" t="str">
        <f>IF(AND($BP31=$BP34,$BQ31=$BQ34,$BR34&gt;$BR31),$BO31,$BO34)</f>
        <v>Veddetero's klunzen</v>
      </c>
      <c r="BT34" s="16">
        <f>VLOOKUP($BS34,$AS29:$BA34,9,FALSE)</f>
        <v>0</v>
      </c>
      <c r="BU34" s="16">
        <f>VLOOKUP($BS34,$AS29:$BA34,8,FALSE)</f>
        <v>-7</v>
      </c>
      <c r="BV34" s="16">
        <f>VLOOKUP($BS34,$AS29:$BA34,6,FALSE)</f>
        <v>1</v>
      </c>
      <c r="BW34" s="16" t="str">
        <f>IF(AND($BT30=$BT34,$BU30=$BU34,$BV34&gt;$BV30),$BS30,$BS34)</f>
        <v>Veddetero's klunzen</v>
      </c>
      <c r="BX34" s="16">
        <f>VLOOKUP($BW34,$AS29:$BA34,9,FALSE)</f>
        <v>0</v>
      </c>
      <c r="BY34" s="16">
        <f>VLOOKUP($BW34,$AS29:$BA34,8,FALSE)</f>
        <v>-7</v>
      </c>
      <c r="BZ34" s="16">
        <f>VLOOKUP($BW34,$AS29:$BA34,6,FALSE)</f>
        <v>1</v>
      </c>
      <c r="CA34" s="16" t="str">
        <f>IF(AND($BX29=$BX34,$BY29=$BY34,$BZ34&gt;$BZ29),$BW29,$BW34)</f>
        <v>Veddetero's klunzen</v>
      </c>
      <c r="CB34" s="16">
        <f>VLOOKUP($CA34,$AS29:$BA34,9,FALSE)</f>
        <v>0</v>
      </c>
      <c r="CC34" s="16">
        <f>VLOOKUP($CA34,$AS29:$BA34,8,FALSE)</f>
        <v>-7</v>
      </c>
      <c r="CD34" s="16">
        <f>VLOOKUP($CA34,$AS29:$BA34,6,FALSE)</f>
        <v>1</v>
      </c>
      <c r="CH34" s="16" t="str">
        <f>CA34</f>
        <v>Veddetero's klunzen</v>
      </c>
      <c r="CI34" s="16">
        <f>VLOOKUP($CH34,$AS29:$BA34,2,FALSE)</f>
        <v>3</v>
      </c>
      <c r="CJ34" s="16">
        <f>VLOOKUP($CH34,$AS29:$BA34,3,FALSE)</f>
        <v>0</v>
      </c>
      <c r="CK34" s="16">
        <f>VLOOKUP($CH34,$AS29:$BA34,4,FALSE)</f>
        <v>3</v>
      </c>
      <c r="CL34" s="16">
        <f>VLOOKUP($CH34,$AS29:$BA34,5,FALSE)</f>
        <v>0</v>
      </c>
      <c r="CM34" s="16">
        <f>VLOOKUP($CH34,$AS29:$BA34,6,FALSE)</f>
        <v>1</v>
      </c>
      <c r="CN34" s="16">
        <f>VLOOKUP($CH34,$AS29:$BA34,7,FALSE)</f>
        <v>8</v>
      </c>
      <c r="CO34" s="16">
        <f>VLOOKUP($CH34,$AS29:$BA34,8,FALSE)</f>
        <v>-7</v>
      </c>
      <c r="CP34" s="16">
        <f>VLOOKUP($CH34,$AS29:$BA34,9,FALSE)</f>
        <v>0</v>
      </c>
      <c r="CR34" s="21" t="e">
        <f>#REF!</f>
        <v>#REF!</v>
      </c>
    </row>
    <row r="35" spans="1:96" ht="18.75" thickBot="1" x14ac:dyDescent="0.3">
      <c r="A35" s="523" t="s">
        <v>5</v>
      </c>
      <c r="B35" s="524"/>
      <c r="C35" s="524"/>
      <c r="D35" s="524"/>
      <c r="E35" s="524"/>
      <c r="F35" s="524"/>
      <c r="G35" s="524"/>
      <c r="H35" s="524"/>
      <c r="I35" s="524"/>
      <c r="J35" s="524"/>
      <c r="K35" s="524"/>
      <c r="L35" s="524"/>
      <c r="M35" s="534"/>
      <c r="N35" s="534"/>
      <c r="O35" s="534"/>
      <c r="P35" s="535"/>
      <c r="R35" s="523" t="s">
        <v>6</v>
      </c>
      <c r="S35" s="524"/>
      <c r="T35" s="524"/>
      <c r="U35" s="524"/>
      <c r="V35" s="524"/>
      <c r="W35" s="524"/>
      <c r="X35" s="524"/>
      <c r="Y35" s="524"/>
      <c r="Z35" s="524"/>
      <c r="AA35" s="524"/>
      <c r="AB35" s="524"/>
      <c r="AC35" s="524"/>
      <c r="AD35" s="524"/>
      <c r="AE35" s="524"/>
      <c r="AF35" s="524"/>
      <c r="AG35" s="525"/>
      <c r="AH35" s="63" t="s">
        <v>167</v>
      </c>
      <c r="AI35" s="63" t="s">
        <v>166</v>
      </c>
      <c r="AJ35" s="63" t="e">
        <f>I61</f>
        <v>#REF!</v>
      </c>
      <c r="AK35" s="234" t="e">
        <f>K61</f>
        <v>#REF!</v>
      </c>
      <c r="AL35" s="77" t="s">
        <v>175</v>
      </c>
      <c r="AM35" s="48" t="s">
        <v>176</v>
      </c>
      <c r="AN35" s="44" t="s">
        <v>111</v>
      </c>
      <c r="AO35" s="45" t="e">
        <f>IF(AJ35&lt;&gt;"",IF(AJ35&gt;AK35,AI35,IF(AK35&gt;AJ35,AL35,"Draw")),"")</f>
        <v>#REF!</v>
      </c>
      <c r="AP35" s="45" t="e">
        <f>IF(AJ35&lt;&gt;"",IF(AJ35&lt;AK35,AI35,IF(AK35&lt;AJ35,AL35,"Draw")),"")</f>
        <v>#REF!</v>
      </c>
      <c r="AQ35" s="45"/>
      <c r="CR35" s="21" t="e">
        <f>#REF!</f>
        <v>#REF!</v>
      </c>
    </row>
    <row r="36" spans="1:96" ht="12.95" customHeight="1" thickBot="1" x14ac:dyDescent="0.25">
      <c r="A36" s="28"/>
      <c r="B36" s="24"/>
      <c r="C36" s="24"/>
      <c r="D36" s="24"/>
      <c r="E36" s="24"/>
      <c r="F36" s="24"/>
      <c r="G36" s="338" t="s">
        <v>109</v>
      </c>
      <c r="H36" s="338" t="s">
        <v>110</v>
      </c>
      <c r="I36" s="338" t="s">
        <v>111</v>
      </c>
      <c r="J36" s="522" t="s">
        <v>112</v>
      </c>
      <c r="K36" s="522"/>
      <c r="L36" s="522" t="s">
        <v>113</v>
      </c>
      <c r="M36" s="531"/>
      <c r="N36" s="531"/>
      <c r="O36" s="338" t="str">
        <f>T("+/-")</f>
        <v>+/-</v>
      </c>
      <c r="P36" s="245" t="s">
        <v>114</v>
      </c>
      <c r="R36" s="28"/>
      <c r="X36" s="338" t="s">
        <v>109</v>
      </c>
      <c r="Y36" s="338" t="s">
        <v>110</v>
      </c>
      <c r="Z36" s="338" t="s">
        <v>111</v>
      </c>
      <c r="AA36" s="522" t="s">
        <v>112</v>
      </c>
      <c r="AB36" s="522"/>
      <c r="AC36" s="522" t="s">
        <v>113</v>
      </c>
      <c r="AD36" s="522"/>
      <c r="AE36" s="522"/>
      <c r="AF36" s="338" t="str">
        <f>T("+/-")</f>
        <v>+/-</v>
      </c>
      <c r="AG36" s="245" t="s">
        <v>114</v>
      </c>
      <c r="AH36" s="65" t="s">
        <v>180</v>
      </c>
      <c r="AI36" s="63" t="s">
        <v>179</v>
      </c>
      <c r="AJ36" s="63" t="str">
        <f>I29</f>
        <v>…</v>
      </c>
      <c r="AK36" s="234" t="str">
        <f>K29</f>
        <v>…</v>
      </c>
      <c r="AL36" s="77" t="s">
        <v>170</v>
      </c>
      <c r="AM36" s="47" t="s">
        <v>171</v>
      </c>
      <c r="AN36" s="44" t="s">
        <v>172</v>
      </c>
      <c r="AO36" s="45" t="str">
        <f t="shared" ref="AO36:AO52" si="14">IF(AJ36&lt;&gt;"",IF(AJ36&gt;AK36,AI36,IF(AK36&gt;AJ36,AL36,"Draw")),"")</f>
        <v>Draw</v>
      </c>
      <c r="AP36" s="45" t="str">
        <f t="shared" ref="AP36:AP52" si="15">IF(AJ36&lt;&gt;"",IF(AJ36&lt;AK36,AI36,IF(AK36&lt;AJ36,AL36,"Draw")),"")</f>
        <v>Draw</v>
      </c>
      <c r="AQ36" s="45"/>
      <c r="CR36" s="21" t="e">
        <f>#REF!</f>
        <v>#REF!</v>
      </c>
    </row>
    <row r="37" spans="1:96" ht="12.95" customHeight="1" thickBot="1" x14ac:dyDescent="0.25">
      <c r="A37" s="516" t="s">
        <v>115</v>
      </c>
      <c r="B37" s="517"/>
      <c r="C37" s="333" t="str">
        <f>CH40</f>
        <v>Carte blanche</v>
      </c>
      <c r="D37" s="333"/>
      <c r="E37" s="333"/>
      <c r="F37" s="333"/>
      <c r="G37" s="334">
        <f t="shared" ref="G37:H40" si="16">CI40</f>
        <v>2</v>
      </c>
      <c r="H37" s="334">
        <f t="shared" si="16"/>
        <v>2</v>
      </c>
      <c r="I37" s="334">
        <f>CL40</f>
        <v>0</v>
      </c>
      <c r="J37" s="513">
        <f>CK40</f>
        <v>0</v>
      </c>
      <c r="K37" s="513"/>
      <c r="L37" s="167">
        <f>CM40</f>
        <v>3</v>
      </c>
      <c r="M37" s="334" t="s">
        <v>16</v>
      </c>
      <c r="N37" s="282">
        <f t="shared" ref="N37:O40" si="17">CN40</f>
        <v>0</v>
      </c>
      <c r="O37" s="334">
        <f t="shared" si="17"/>
        <v>3</v>
      </c>
      <c r="P37" s="306">
        <f>SUM(H37*3+I37*1)</f>
        <v>6</v>
      </c>
      <c r="Q37" s="167"/>
      <c r="R37" s="516" t="s">
        <v>115</v>
      </c>
      <c r="S37" s="517"/>
      <c r="T37" s="333" t="str">
        <f>CH47</f>
        <v>#illuminaticonfirmed</v>
      </c>
      <c r="U37" s="333"/>
      <c r="V37" s="333"/>
      <c r="W37" s="333"/>
      <c r="X37" s="335">
        <f t="shared" ref="X37:Y40" si="18">CI47</f>
        <v>2</v>
      </c>
      <c r="Y37" s="335">
        <f t="shared" si="18"/>
        <v>1</v>
      </c>
      <c r="Z37" s="334">
        <f>CL47</f>
        <v>1</v>
      </c>
      <c r="AA37" s="514">
        <f>CK47</f>
        <v>0</v>
      </c>
      <c r="AB37" s="514"/>
      <c r="AC37" s="218">
        <f>CM47</f>
        <v>4</v>
      </c>
      <c r="AD37" s="334" t="s">
        <v>16</v>
      </c>
      <c r="AE37" s="326">
        <f t="shared" ref="AE37:AF40" si="19">CN47</f>
        <v>1</v>
      </c>
      <c r="AF37" s="335">
        <f t="shared" si="19"/>
        <v>3</v>
      </c>
      <c r="AG37" s="306">
        <f>SUM(Y37*3+Z37*1)</f>
        <v>4</v>
      </c>
      <c r="AH37" s="63" t="s">
        <v>181</v>
      </c>
      <c r="AI37" s="63" t="s">
        <v>182</v>
      </c>
      <c r="AJ37" s="63">
        <f>Z60</f>
        <v>8</v>
      </c>
      <c r="AK37" s="234">
        <f>AB60</f>
        <v>0</v>
      </c>
      <c r="AL37" s="77" t="s">
        <v>194</v>
      </c>
      <c r="AM37" s="48" t="s">
        <v>193</v>
      </c>
      <c r="AN37" s="44" t="s">
        <v>185</v>
      </c>
      <c r="AO37" s="45" t="str">
        <f t="shared" si="14"/>
        <v>Japan</v>
      </c>
      <c r="AP37" s="45" t="str">
        <f t="shared" si="15"/>
        <v>Russia</v>
      </c>
      <c r="AQ37" s="45"/>
      <c r="CR37" s="21" t="e">
        <f>#REF!</f>
        <v>#REF!</v>
      </c>
    </row>
    <row r="38" spans="1:96" ht="12.95" customHeight="1" thickBot="1" x14ac:dyDescent="0.25">
      <c r="A38" s="516" t="s">
        <v>116</v>
      </c>
      <c r="B38" s="517"/>
      <c r="C38" s="333" t="str">
        <f>CH41</f>
        <v>Monnie Represent</v>
      </c>
      <c r="D38" s="333"/>
      <c r="E38" s="333"/>
      <c r="F38" s="333"/>
      <c r="G38" s="334">
        <f t="shared" si="16"/>
        <v>3</v>
      </c>
      <c r="H38" s="334">
        <f t="shared" si="16"/>
        <v>2</v>
      </c>
      <c r="I38" s="334">
        <f>CL41</f>
        <v>0</v>
      </c>
      <c r="J38" s="513">
        <f>CK41</f>
        <v>1</v>
      </c>
      <c r="K38" s="513"/>
      <c r="L38" s="167">
        <f>CM41</f>
        <v>4</v>
      </c>
      <c r="M38" s="334" t="s">
        <v>16</v>
      </c>
      <c r="N38" s="282">
        <f t="shared" si="17"/>
        <v>3</v>
      </c>
      <c r="O38" s="334">
        <f t="shared" si="17"/>
        <v>1</v>
      </c>
      <c r="P38" s="306">
        <f>SUM(H38*3+I38*1)</f>
        <v>6</v>
      </c>
      <c r="Q38" s="167"/>
      <c r="R38" s="516" t="s">
        <v>116</v>
      </c>
      <c r="S38" s="517"/>
      <c r="T38" s="333" t="str">
        <f>CH48</f>
        <v>Scherp Online</v>
      </c>
      <c r="U38" s="333"/>
      <c r="V38" s="333"/>
      <c r="W38" s="333"/>
      <c r="X38" s="335">
        <f t="shared" si="18"/>
        <v>2</v>
      </c>
      <c r="Y38" s="335">
        <f t="shared" si="18"/>
        <v>1</v>
      </c>
      <c r="Z38" s="334">
        <f>CL48</f>
        <v>1</v>
      </c>
      <c r="AA38" s="514">
        <f>CK48</f>
        <v>0</v>
      </c>
      <c r="AB38" s="514"/>
      <c r="AC38" s="218">
        <f>CM48</f>
        <v>2</v>
      </c>
      <c r="AD38" s="334" t="s">
        <v>16</v>
      </c>
      <c r="AE38" s="326">
        <f t="shared" si="19"/>
        <v>0</v>
      </c>
      <c r="AF38" s="335">
        <f t="shared" si="19"/>
        <v>2</v>
      </c>
      <c r="AG38" s="306">
        <f>SUM(Y38*3+Z38*1)</f>
        <v>4</v>
      </c>
      <c r="AH38" s="63" t="s">
        <v>187</v>
      </c>
      <c r="AI38" s="63" t="s">
        <v>188</v>
      </c>
      <c r="AJ38" s="63">
        <f>Z28</f>
        <v>3</v>
      </c>
      <c r="AK38" s="234">
        <f>AB28</f>
        <v>1</v>
      </c>
      <c r="AL38" s="77" t="s">
        <v>199</v>
      </c>
      <c r="AM38" s="48" t="s">
        <v>198</v>
      </c>
      <c r="AN38" s="44" t="s">
        <v>126</v>
      </c>
      <c r="AO38" s="45" t="str">
        <f t="shared" si="14"/>
        <v>South Korea</v>
      </c>
      <c r="AP38" s="45" t="str">
        <f t="shared" si="15"/>
        <v>USA</v>
      </c>
      <c r="AQ38" s="45"/>
      <c r="AS38" s="16" t="s">
        <v>206</v>
      </c>
      <c r="CR38" s="21" t="e">
        <f>#REF!</f>
        <v>#REF!</v>
      </c>
    </row>
    <row r="39" spans="1:96" ht="12.95" customHeight="1" thickBot="1" x14ac:dyDescent="0.25">
      <c r="A39" s="516" t="s">
        <v>118</v>
      </c>
      <c r="B39" s="517"/>
      <c r="C39" s="333" t="str">
        <f>CH42</f>
        <v>MAN ON F.C</v>
      </c>
      <c r="D39" s="333"/>
      <c r="E39" s="333"/>
      <c r="F39" s="333"/>
      <c r="G39" s="334">
        <f t="shared" si="16"/>
        <v>3</v>
      </c>
      <c r="H39" s="334">
        <f t="shared" si="16"/>
        <v>1</v>
      </c>
      <c r="I39" s="334">
        <f>CL42</f>
        <v>0</v>
      </c>
      <c r="J39" s="513">
        <f>CK42</f>
        <v>2</v>
      </c>
      <c r="K39" s="513"/>
      <c r="L39" s="167">
        <f>CM42</f>
        <v>2</v>
      </c>
      <c r="M39" s="334" t="s">
        <v>16</v>
      </c>
      <c r="N39" s="282">
        <f t="shared" si="17"/>
        <v>4</v>
      </c>
      <c r="O39" s="334">
        <f t="shared" si="17"/>
        <v>-2</v>
      </c>
      <c r="P39" s="306">
        <f>SUM(H39*3+I39*1)</f>
        <v>3</v>
      </c>
      <c r="Q39" s="167"/>
      <c r="R39" s="516" t="s">
        <v>118</v>
      </c>
      <c r="S39" s="517"/>
      <c r="T39" s="333" t="str">
        <f>CH49</f>
        <v>Team Bublé</v>
      </c>
      <c r="U39" s="333"/>
      <c r="V39" s="333"/>
      <c r="W39" s="333"/>
      <c r="X39" s="335">
        <f t="shared" si="18"/>
        <v>2</v>
      </c>
      <c r="Y39" s="335">
        <f t="shared" si="18"/>
        <v>0</v>
      </c>
      <c r="Z39" s="334">
        <f>CL49</f>
        <v>2</v>
      </c>
      <c r="AA39" s="514">
        <f>CK49</f>
        <v>0</v>
      </c>
      <c r="AB39" s="514"/>
      <c r="AC39" s="218">
        <f>CM49</f>
        <v>0</v>
      </c>
      <c r="AD39" s="334" t="s">
        <v>16</v>
      </c>
      <c r="AE39" s="326">
        <f t="shared" si="19"/>
        <v>0</v>
      </c>
      <c r="AF39" s="335">
        <f t="shared" si="19"/>
        <v>0</v>
      </c>
      <c r="AG39" s="306">
        <f>SUM(Y39*3+Z39*1)</f>
        <v>2</v>
      </c>
      <c r="AH39" s="63" t="s">
        <v>196</v>
      </c>
      <c r="AI39" s="63" t="s">
        <v>195</v>
      </c>
      <c r="AJ39" s="63">
        <f>Z61</f>
        <v>4</v>
      </c>
      <c r="AK39" s="234">
        <f>AB61</f>
        <v>0</v>
      </c>
      <c r="AL39" s="77" t="s">
        <v>183</v>
      </c>
      <c r="AM39" s="48" t="s">
        <v>184</v>
      </c>
      <c r="AN39" s="44" t="s">
        <v>185</v>
      </c>
      <c r="AO39" s="45" t="str">
        <f t="shared" si="14"/>
        <v>Tunisia</v>
      </c>
      <c r="AP39" s="45" t="str">
        <f t="shared" si="15"/>
        <v>Belgium</v>
      </c>
      <c r="AQ39" s="45"/>
      <c r="AT39" s="16" t="s">
        <v>124</v>
      </c>
      <c r="AU39" s="16" t="s">
        <v>110</v>
      </c>
      <c r="AV39" s="16" t="s">
        <v>125</v>
      </c>
      <c r="AW39" s="16" t="s">
        <v>126</v>
      </c>
      <c r="AX39" s="16" t="s">
        <v>127</v>
      </c>
      <c r="AY39" s="16" t="s">
        <v>123</v>
      </c>
      <c r="AZ39" s="16" t="s">
        <v>128</v>
      </c>
      <c r="BA39" s="16" t="s">
        <v>129</v>
      </c>
      <c r="BB39" s="16" t="s">
        <v>130</v>
      </c>
      <c r="BC39" s="20" t="s">
        <v>129</v>
      </c>
      <c r="BD39" s="16" t="s">
        <v>130</v>
      </c>
      <c r="BE39" s="20" t="s">
        <v>129</v>
      </c>
      <c r="BF39" s="16" t="s">
        <v>130</v>
      </c>
      <c r="BG39" s="20" t="s">
        <v>129</v>
      </c>
      <c r="BH39" s="20" t="s">
        <v>128</v>
      </c>
      <c r="BI39" s="16" t="s">
        <v>130</v>
      </c>
      <c r="BJ39" s="16" t="s">
        <v>129</v>
      </c>
      <c r="BK39" s="20" t="s">
        <v>128</v>
      </c>
      <c r="BL39" s="16" t="s">
        <v>130</v>
      </c>
      <c r="BM39" s="16" t="s">
        <v>129</v>
      </c>
      <c r="BN39" s="20" t="s">
        <v>128</v>
      </c>
      <c r="BO39" s="16" t="s">
        <v>130</v>
      </c>
      <c r="BP39" s="16" t="s">
        <v>129</v>
      </c>
      <c r="BQ39" s="20" t="s">
        <v>128</v>
      </c>
      <c r="BR39" s="20" t="s">
        <v>127</v>
      </c>
      <c r="BS39" s="16" t="s">
        <v>130</v>
      </c>
      <c r="BT39" s="16" t="s">
        <v>129</v>
      </c>
      <c r="BU39" s="20" t="s">
        <v>128</v>
      </c>
      <c r="BV39" s="20" t="s">
        <v>127</v>
      </c>
      <c r="BW39" s="16" t="s">
        <v>130</v>
      </c>
      <c r="BX39" s="16" t="s">
        <v>129</v>
      </c>
      <c r="BY39" s="20" t="s">
        <v>128</v>
      </c>
      <c r="BZ39" s="20" t="s">
        <v>127</v>
      </c>
      <c r="CA39" s="16" t="s">
        <v>130</v>
      </c>
      <c r="CB39" s="20" t="s">
        <v>129</v>
      </c>
      <c r="CC39" s="20" t="s">
        <v>128</v>
      </c>
      <c r="CD39" s="20" t="s">
        <v>127</v>
      </c>
      <c r="CI39" s="20" t="s">
        <v>131</v>
      </c>
      <c r="CJ39" s="20" t="s">
        <v>110</v>
      </c>
      <c r="CK39" s="20" t="s">
        <v>125</v>
      </c>
      <c r="CL39" s="20" t="s">
        <v>126</v>
      </c>
      <c r="CM39" s="20" t="s">
        <v>127</v>
      </c>
      <c r="CN39" s="20" t="s">
        <v>123</v>
      </c>
      <c r="CO39" s="20" t="s">
        <v>128</v>
      </c>
      <c r="CP39" s="20" t="s">
        <v>129</v>
      </c>
      <c r="CR39" s="21" t="e">
        <f>#REF!</f>
        <v>#REF!</v>
      </c>
    </row>
    <row r="40" spans="1:96" ht="12.95" customHeight="1" thickBot="1" x14ac:dyDescent="0.25">
      <c r="A40" s="516" t="s">
        <v>132</v>
      </c>
      <c r="B40" s="517"/>
      <c r="C40" s="333" t="str">
        <f>CH43</f>
        <v>FC Carnabal</v>
      </c>
      <c r="D40" s="333"/>
      <c r="E40" s="333"/>
      <c r="F40" s="333"/>
      <c r="G40" s="334">
        <f t="shared" si="16"/>
        <v>2</v>
      </c>
      <c r="H40" s="334">
        <f t="shared" si="16"/>
        <v>0</v>
      </c>
      <c r="I40" s="334">
        <f>CL43</f>
        <v>0</v>
      </c>
      <c r="J40" s="513">
        <f>CK43</f>
        <v>2</v>
      </c>
      <c r="K40" s="513"/>
      <c r="L40" s="167">
        <f>CM43</f>
        <v>2</v>
      </c>
      <c r="M40" s="334" t="s">
        <v>16</v>
      </c>
      <c r="N40" s="282">
        <f t="shared" si="17"/>
        <v>4</v>
      </c>
      <c r="O40" s="334">
        <f t="shared" si="17"/>
        <v>-2</v>
      </c>
      <c r="P40" s="306">
        <f>SUM(H40*3+I40*1)</f>
        <v>0</v>
      </c>
      <c r="Q40" s="167"/>
      <c r="R40" s="516" t="s">
        <v>132</v>
      </c>
      <c r="S40" s="517"/>
      <c r="T40" s="333" t="str">
        <f>CH50</f>
        <v>Sammi's Sweathearts</v>
      </c>
      <c r="U40" s="333"/>
      <c r="V40" s="333"/>
      <c r="W40" s="333"/>
      <c r="X40" s="335">
        <f t="shared" si="18"/>
        <v>2</v>
      </c>
      <c r="Y40" s="335">
        <f t="shared" si="18"/>
        <v>0</v>
      </c>
      <c r="Z40" s="334">
        <f>CL50</f>
        <v>0</v>
      </c>
      <c r="AA40" s="514">
        <f>CK50</f>
        <v>2</v>
      </c>
      <c r="AB40" s="514"/>
      <c r="AC40" s="218">
        <f>CM50</f>
        <v>1</v>
      </c>
      <c r="AD40" s="334" t="s">
        <v>16</v>
      </c>
      <c r="AE40" s="326">
        <f t="shared" si="19"/>
        <v>6</v>
      </c>
      <c r="AF40" s="335">
        <f t="shared" si="19"/>
        <v>-5</v>
      </c>
      <c r="AG40" s="306">
        <f>SUM(Y40*3+Z40*1)</f>
        <v>0</v>
      </c>
      <c r="AH40" s="63" t="s">
        <v>201</v>
      </c>
      <c r="AI40" s="63" t="s">
        <v>200</v>
      </c>
      <c r="AJ40" s="63">
        <f>Z29</f>
        <v>0</v>
      </c>
      <c r="AK40" s="234">
        <f>AB29</f>
        <v>2</v>
      </c>
      <c r="AL40" s="77" t="s">
        <v>189</v>
      </c>
      <c r="AM40" s="48" t="s">
        <v>190</v>
      </c>
      <c r="AN40" s="44" t="s">
        <v>126</v>
      </c>
      <c r="AO40" s="45" t="str">
        <f t="shared" si="14"/>
        <v>Poland</v>
      </c>
      <c r="AP40" s="45" t="str">
        <f t="shared" si="15"/>
        <v>Portugal</v>
      </c>
      <c r="AQ40" s="45"/>
      <c r="AS40" s="16" t="str">
        <f>KWALIFICATIE!E12</f>
        <v>Carte blanche</v>
      </c>
      <c r="AT40" s="16">
        <f>COUNT(Germany_Played)</f>
        <v>2</v>
      </c>
      <c r="AU40" s="16">
        <f>COUNTIF(Groupstage_Winners,"Germany")</f>
        <v>2</v>
      </c>
      <c r="AV40" s="16">
        <f>COUNTIF(Groupstage_Losers,"Germany")</f>
        <v>0</v>
      </c>
      <c r="AW40" s="16">
        <f>AT40-(AU40+AV40)</f>
        <v>0</v>
      </c>
      <c r="AX40" s="16">
        <f>SUM(Germany_Played)</f>
        <v>3</v>
      </c>
      <c r="AY40" s="16">
        <f>SUM(Germany_Against)</f>
        <v>0</v>
      </c>
      <c r="AZ40" s="16">
        <f>AX40-AY40</f>
        <v>3</v>
      </c>
      <c r="BA40" s="16">
        <f>SUM((AU40*3)+(AW40*1))</f>
        <v>6</v>
      </c>
      <c r="BB40" s="16" t="str">
        <f>IF($BA40&gt;=$BA41,$AS40,$AS41)</f>
        <v>Carte blanche</v>
      </c>
      <c r="BC40" s="16">
        <f>VLOOKUP($BB40,$AS40:$BA43,9,FALSE)</f>
        <v>6</v>
      </c>
      <c r="BD40" s="16" t="str">
        <f>IF($BC40&gt;=$BC42,$BB40,$BB42)</f>
        <v>Carte blanche</v>
      </c>
      <c r="BE40" s="16">
        <f>VLOOKUP($BD40,$AS40:$BA43,9,FALSE)</f>
        <v>6</v>
      </c>
      <c r="BF40" s="16" t="str">
        <f>IF($BE40&gt;=$BE43,$BD40,$BD43)</f>
        <v>Carte blanche</v>
      </c>
      <c r="BG40" s="16">
        <f>VLOOKUP($BF40,$AS40:$BA43,9,FALSE)</f>
        <v>6</v>
      </c>
      <c r="BH40" s="16">
        <f>VLOOKUP($BF40,$AS40:$BA43,8,FALSE)</f>
        <v>3</v>
      </c>
      <c r="BI40" s="16" t="str">
        <f>IF(AND($BG40=$BG41,$BH41&gt;$BH40),$BF41,$BF40)</f>
        <v>Carte blanche</v>
      </c>
      <c r="BJ40" s="16">
        <f>VLOOKUP($BI40,$AS40:$BA43,9,FALSE)</f>
        <v>6</v>
      </c>
      <c r="BK40" s="16">
        <f>VLOOKUP($BI40,$AS40:$BA43,8,FALSE)</f>
        <v>3</v>
      </c>
      <c r="BL40" s="16" t="str">
        <f>IF(AND($BJ40=$BJ42,$BK42&gt;$BK40),$BI42,$BI40)</f>
        <v>Carte blanche</v>
      </c>
      <c r="BM40" s="16">
        <f>VLOOKUP($BL40,$AS40:$BA43,9,FALSE)</f>
        <v>6</v>
      </c>
      <c r="BN40" s="16">
        <f>VLOOKUP($BL40,$AS40:$BA43,8,FALSE)</f>
        <v>3</v>
      </c>
      <c r="BO40" s="16" t="str">
        <f>IF(AND($BM40=$BM43,$BN43&gt;$BN40),$BL43,$BL40)</f>
        <v>Carte blanche</v>
      </c>
      <c r="BP40" s="16">
        <f>VLOOKUP($BO40,$AS40:$BA43,9,FALSE)</f>
        <v>6</v>
      </c>
      <c r="BQ40" s="16">
        <f>VLOOKUP($BO40,$AS40:$BA43,8,FALSE)</f>
        <v>3</v>
      </c>
      <c r="BR40" s="16">
        <f>VLOOKUP($BO40,$AS40:$BA43,6,FALSE)</f>
        <v>3</v>
      </c>
      <c r="BS40" s="16" t="str">
        <f>IF(AND($BP40=$BP41,$BQ40=$BQ41,$BR41&gt;$BR40),$BO41,$BO40)</f>
        <v>Carte blanche</v>
      </c>
      <c r="BT40" s="16">
        <f>VLOOKUP($BS40,$AS40:$BA43,9,FALSE)</f>
        <v>6</v>
      </c>
      <c r="BU40" s="16">
        <f>VLOOKUP($BS40,$AS40:$BA43,8,FALSE)</f>
        <v>3</v>
      </c>
      <c r="BV40" s="16">
        <f>VLOOKUP($BS40,$AS40:$BA43,6,FALSE)</f>
        <v>3</v>
      </c>
      <c r="BW40" s="16" t="str">
        <f>IF(AND($BT40=$BT42,$BU40=$BU42,$BV42&gt;$BV40),$BS42,$BS40)</f>
        <v>Carte blanche</v>
      </c>
      <c r="BX40" s="16">
        <f>VLOOKUP($BW40,$AS40:$BA43,9,FALSE)</f>
        <v>6</v>
      </c>
      <c r="BY40" s="16">
        <f>VLOOKUP($BW40,$AS40:$BA43,8,FALSE)</f>
        <v>3</v>
      </c>
      <c r="BZ40" s="16">
        <f>VLOOKUP($BW40,$AS40:$BA43,6,FALSE)</f>
        <v>3</v>
      </c>
      <c r="CA40" s="16" t="str">
        <f>IF(AND($BX40=$BX43,$BY40=$BY43,$BZ43&gt;$BZ40),$BW43,$BW40)</f>
        <v>Carte blanche</v>
      </c>
      <c r="CB40" s="16">
        <f>VLOOKUP($CA40,$AS40:$BA43,9,FALSE)</f>
        <v>6</v>
      </c>
      <c r="CC40" s="16">
        <f>VLOOKUP($CA40,$AS40:$BA43,8,FALSE)</f>
        <v>3</v>
      </c>
      <c r="CD40" s="16">
        <f>VLOOKUP($CA40,$AS40:$BA43,6,FALSE)</f>
        <v>3</v>
      </c>
      <c r="CH40" s="16" t="str">
        <f>CA40</f>
        <v>Carte blanche</v>
      </c>
      <c r="CI40" s="16">
        <f>VLOOKUP($CH40,$AS40:$BA43,2,FALSE)</f>
        <v>2</v>
      </c>
      <c r="CJ40" s="16">
        <f>VLOOKUP($CH40,$AS40:$BA43,3,FALSE)</f>
        <v>2</v>
      </c>
      <c r="CK40" s="16">
        <f>VLOOKUP($CH40,$AS40:$BA43,4,FALSE)</f>
        <v>0</v>
      </c>
      <c r="CL40" s="16">
        <f>VLOOKUP($CH40,$AS40:$BA43,5,FALSE)</f>
        <v>0</v>
      </c>
      <c r="CM40" s="16">
        <f>VLOOKUP($CH40,$AS40:$BA43,6,FALSE)</f>
        <v>3</v>
      </c>
      <c r="CN40" s="16">
        <f>VLOOKUP($CH40,$AS40:$BA43,7,FALSE)</f>
        <v>0</v>
      </c>
      <c r="CO40" s="16">
        <f>VLOOKUP($CH40,$AS40:$BA43,8,FALSE)</f>
        <v>3</v>
      </c>
      <c r="CP40" s="16">
        <f>VLOOKUP($CH40,$AS40:$BA43,9,FALSE)</f>
        <v>6</v>
      </c>
      <c r="CR40" s="21" t="e">
        <f>#REF!</f>
        <v>#REF!</v>
      </c>
    </row>
    <row r="41" spans="1:96" ht="7.5" customHeight="1" thickBot="1" x14ac:dyDescent="0.25">
      <c r="A41" s="28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P41" s="32"/>
      <c r="R41" s="28"/>
      <c r="AG41" s="32"/>
      <c r="AH41" s="69" t="s">
        <v>141</v>
      </c>
      <c r="AI41" s="70" t="s">
        <v>140</v>
      </c>
      <c r="AJ41" s="70">
        <f>I15</f>
        <v>3</v>
      </c>
      <c r="AK41" s="232">
        <f>K15</f>
        <v>0</v>
      </c>
      <c r="AL41" s="73" t="s">
        <v>120</v>
      </c>
      <c r="AM41" s="50" t="s">
        <v>119</v>
      </c>
      <c r="AN41" s="44" t="s">
        <v>123</v>
      </c>
      <c r="AO41" s="45" t="str">
        <f>IF(AJ41&lt;&gt;"",IF(AJ41&gt;AK41,AI41,IF(AK41&gt;AJ41,AL41,"Draw")),"")</f>
        <v>Senegal</v>
      </c>
      <c r="AP41" s="45" t="str">
        <f>IF(AJ41&lt;&gt;"",IF(AJ41&lt;AK41,AI41,IF(AK41&lt;AJ41,AL41,"Draw")),"")</f>
        <v>Uruguay</v>
      </c>
      <c r="AQ41" s="45"/>
      <c r="AS41" s="16" t="str">
        <f>KWALIFICATIE!E13</f>
        <v>MAN ON F.C</v>
      </c>
      <c r="AT41" s="16">
        <f>COUNT(Saudi_Arabia_Played)</f>
        <v>3</v>
      </c>
      <c r="AU41" s="16">
        <f>COUNTIF(Groupstage_Winners,"Saudi Arabia")</f>
        <v>1</v>
      </c>
      <c r="AV41" s="16">
        <f>COUNTIF(Groupstage_Losers,"Saudi Arabia")</f>
        <v>2</v>
      </c>
      <c r="AW41" s="16">
        <f>AT41-(AU41+AV41)</f>
        <v>0</v>
      </c>
      <c r="AX41" s="16">
        <f>SUM(Saudi_Arabia_Played)</f>
        <v>2</v>
      </c>
      <c r="AY41" s="16">
        <f>SUM(Saudi_Arabia_Against)</f>
        <v>4</v>
      </c>
      <c r="AZ41" s="16">
        <f>AX41-AY41</f>
        <v>-2</v>
      </c>
      <c r="BA41" s="16">
        <f t="shared" ref="BA41:BA43" si="20">SUM((AU41*3)+(AW41*1))</f>
        <v>3</v>
      </c>
      <c r="BB41" s="16" t="str">
        <f>IF($BA41&lt;=$BA40,$AS41,$AS40)</f>
        <v>MAN ON F.C</v>
      </c>
      <c r="BC41" s="16">
        <f>VLOOKUP($BB41,$AS40:$BA43,9,FALSE)</f>
        <v>3</v>
      </c>
      <c r="BD41" s="16" t="str">
        <f>IF(BC41&gt;=BC43,BB41,BB43)</f>
        <v>MAN ON F.C</v>
      </c>
      <c r="BE41" s="16">
        <f>VLOOKUP($BD41,$AS40:$BA43,9,FALSE)</f>
        <v>3</v>
      </c>
      <c r="BF41" s="16" t="str">
        <f>IF($BE41&gt;=$BE42,$BD41,$BD42)</f>
        <v>Monnie Represent</v>
      </c>
      <c r="BG41" s="16">
        <f>VLOOKUP($BF41,$AS40:$BA43,9,FALSE)</f>
        <v>6</v>
      </c>
      <c r="BH41" s="16">
        <f>VLOOKUP($BF41,$AS40:$BA43,8,FALSE)</f>
        <v>1</v>
      </c>
      <c r="BI41" s="16" t="str">
        <f>IF(AND($BG40=$BG41,$BH41&gt;$BH40),$BF40,$BF41)</f>
        <v>Monnie Represent</v>
      </c>
      <c r="BJ41" s="16">
        <f>VLOOKUP($BI41,$AS40:$BA43,9,FALSE)</f>
        <v>6</v>
      </c>
      <c r="BK41" s="16">
        <f>VLOOKUP($BI41,$AS40:$BA43,8,FALSE)</f>
        <v>1</v>
      </c>
      <c r="BL41" s="16" t="str">
        <f>IF(AND($BJ41=$BJ43,$BK43&gt;$BK41),$BI43,$BI41)</f>
        <v>Monnie Represent</v>
      </c>
      <c r="BM41" s="16">
        <f>VLOOKUP($BL41,$AS40:$BA43,9,FALSE)</f>
        <v>6</v>
      </c>
      <c r="BN41" s="16">
        <f>VLOOKUP($BL41,$AS40:$BA43,8,FALSE)</f>
        <v>1</v>
      </c>
      <c r="BO41" s="16" t="str">
        <f>IF(AND($BM41=$BM42,$BN42&gt;$BN41),$BL42,$BL41)</f>
        <v>Monnie Represent</v>
      </c>
      <c r="BP41" s="16">
        <f>VLOOKUP($BO41,$AS40:$BA43,9,FALSE)</f>
        <v>6</v>
      </c>
      <c r="BQ41" s="16">
        <f>VLOOKUP($BO41,$AS40:$BA43,8,FALSE)</f>
        <v>1</v>
      </c>
      <c r="BR41" s="16">
        <f>VLOOKUP($BO41,$AS40:$BA43,6,FALSE)</f>
        <v>4</v>
      </c>
      <c r="BS41" s="16" t="str">
        <f>IF(AND($BP40=$BP41,$BQ40=$BQ41,$BR41&gt;$BR40),$BO40,$BO41)</f>
        <v>Monnie Represent</v>
      </c>
      <c r="BT41" s="16">
        <f>VLOOKUP($BS41,$AS40:$BA43,9,FALSE)</f>
        <v>6</v>
      </c>
      <c r="BU41" s="16">
        <f>VLOOKUP($BS41,$AS40:$BA43,8,FALSE)</f>
        <v>1</v>
      </c>
      <c r="BV41" s="16">
        <f>VLOOKUP($BS41,$AS40:$BA43,6,FALSE)</f>
        <v>4</v>
      </c>
      <c r="BW41" s="16" t="str">
        <f>IF(AND($BT41=$BT43,$BU41=$BU43,$BV43&gt;$BV41),$BS43,$BS41)</f>
        <v>Monnie Represent</v>
      </c>
      <c r="BX41" s="16">
        <f>VLOOKUP($BW41,$AS40:$BA43,9,FALSE)</f>
        <v>6</v>
      </c>
      <c r="BY41" s="16">
        <f>VLOOKUP($BW41,$AS40:$BA43,8,FALSE)</f>
        <v>1</v>
      </c>
      <c r="BZ41" s="16">
        <f>VLOOKUP($BW41,$AS40:$BA43,6,FALSE)</f>
        <v>4</v>
      </c>
      <c r="CA41" s="16" t="str">
        <f>IF(AND($BX41=$BX42,$BY41=$BY42,$BZ42&gt;$BZ41),$BW42,$BW41)</f>
        <v>Monnie Represent</v>
      </c>
      <c r="CB41" s="16">
        <f>VLOOKUP($CA41,$AS40:$BA43,9,FALSE)</f>
        <v>6</v>
      </c>
      <c r="CC41" s="16">
        <f>VLOOKUP($CA41,$AS40:$BA43,8,FALSE)</f>
        <v>1</v>
      </c>
      <c r="CD41" s="16">
        <f>VLOOKUP($CA41,$AS40:$BA43,6,FALSE)</f>
        <v>4</v>
      </c>
      <c r="CH41" s="16" t="str">
        <f>CA41</f>
        <v>Monnie Represent</v>
      </c>
      <c r="CI41" s="16">
        <f>VLOOKUP($CH41,$AS40:$BA43,2,FALSE)</f>
        <v>3</v>
      </c>
      <c r="CJ41" s="16">
        <f>VLOOKUP($CH41,$AS40:$BA43,3,FALSE)</f>
        <v>2</v>
      </c>
      <c r="CK41" s="16">
        <f>VLOOKUP($CH41,$AS40:$BA43,4,FALSE)</f>
        <v>1</v>
      </c>
      <c r="CL41" s="16">
        <f>VLOOKUP($CH41,$AS40:$BA43,5,FALSE)</f>
        <v>0</v>
      </c>
      <c r="CM41" s="16">
        <f>VLOOKUP($CH41,$AS40:$BA43,6,FALSE)</f>
        <v>4</v>
      </c>
      <c r="CN41" s="16">
        <f>VLOOKUP($CH41,$AS40:$BA43,7,FALSE)</f>
        <v>3</v>
      </c>
      <c r="CO41" s="16">
        <f>VLOOKUP($CH41,$AS40:$BA43,8,FALSE)</f>
        <v>1</v>
      </c>
      <c r="CP41" s="16">
        <f>VLOOKUP($CH41,$AS40:$BA43,9,FALSE)</f>
        <v>6</v>
      </c>
      <c r="CR41" s="21" t="e">
        <f>#REF!</f>
        <v>#REF!</v>
      </c>
    </row>
    <row r="42" spans="1:96" ht="9.75" customHeight="1" thickBot="1" x14ac:dyDescent="0.25">
      <c r="A42" s="246" t="s">
        <v>85</v>
      </c>
      <c r="B42" s="339"/>
      <c r="C42" s="339"/>
      <c r="D42" s="124" t="s">
        <v>86</v>
      </c>
      <c r="E42" s="124"/>
      <c r="F42" s="124"/>
      <c r="G42" s="124"/>
      <c r="H42" s="124"/>
      <c r="I42" s="515" t="s">
        <v>15</v>
      </c>
      <c r="J42" s="515"/>
      <c r="K42" s="515"/>
      <c r="L42" s="526"/>
      <c r="M42" s="526"/>
      <c r="N42" s="526"/>
      <c r="O42" s="526"/>
      <c r="P42" s="527"/>
      <c r="R42" s="246" t="s">
        <v>85</v>
      </c>
      <c r="S42" s="339"/>
      <c r="T42" s="339"/>
      <c r="U42" s="124" t="s">
        <v>86</v>
      </c>
      <c r="V42" s="124"/>
      <c r="W42" s="124"/>
      <c r="X42" s="124"/>
      <c r="Y42" s="124"/>
      <c r="Z42" s="515" t="s">
        <v>15</v>
      </c>
      <c r="AA42" s="515"/>
      <c r="AB42" s="515"/>
      <c r="AC42" s="526"/>
      <c r="AD42" s="526"/>
      <c r="AE42" s="526"/>
      <c r="AF42" s="526"/>
      <c r="AG42" s="527"/>
      <c r="AH42" s="69" t="s">
        <v>122</v>
      </c>
      <c r="AI42" s="70" t="s">
        <v>121</v>
      </c>
      <c r="AJ42" s="70">
        <f>I16</f>
        <v>1</v>
      </c>
      <c r="AK42" s="232">
        <f>K16</f>
        <v>0</v>
      </c>
      <c r="AL42" s="73" t="s">
        <v>139</v>
      </c>
      <c r="AM42" s="50" t="s">
        <v>138</v>
      </c>
      <c r="AN42" s="44" t="s">
        <v>123</v>
      </c>
      <c r="AO42" s="45" t="str">
        <f>IF(AJ42&lt;&gt;"",IF(AJ42&gt;AK42,AI42,IF(AK42&gt;AJ42,AL42,"Draw")),"")</f>
        <v>Denmark</v>
      </c>
      <c r="AP42" s="45" t="str">
        <f>IF(AJ42&lt;&gt;"",IF(AJ42&lt;AK42,AI42,IF(AK42&lt;AJ42,AL42,"Draw")),"")</f>
        <v>France</v>
      </c>
      <c r="AQ42" s="45"/>
      <c r="AS42" s="16" t="str">
        <f>KWALIFICATIE!E14</f>
        <v>Monnie Represent</v>
      </c>
      <c r="AT42" s="16">
        <f>COUNT(Ireland_Played)</f>
        <v>3</v>
      </c>
      <c r="AU42" s="16">
        <f>COUNTIF(Groupstage_Winners,"Ireland")</f>
        <v>2</v>
      </c>
      <c r="AV42" s="16">
        <f>COUNTIF(Groupstage_Losers,"Ireland")</f>
        <v>1</v>
      </c>
      <c r="AW42" s="16">
        <f>AT42-(AU42+AV42)</f>
        <v>0</v>
      </c>
      <c r="AX42" s="16">
        <f>SUM(Ireland_Played)</f>
        <v>4</v>
      </c>
      <c r="AY42" s="16">
        <f>SUM(Ireland_Against)</f>
        <v>3</v>
      </c>
      <c r="AZ42" s="16">
        <f>AX42-AY42</f>
        <v>1</v>
      </c>
      <c r="BA42" s="16">
        <f t="shared" si="20"/>
        <v>6</v>
      </c>
      <c r="BB42" s="16" t="str">
        <f>IF($BA42&gt;=$BA43,$AS42,$AS43)</f>
        <v>Monnie Represent</v>
      </c>
      <c r="BC42" s="16">
        <f>VLOOKUP($BB42,$AS40:$BA43,9,FALSE)</f>
        <v>6</v>
      </c>
      <c r="BD42" s="16" t="str">
        <f>IF($BC42&lt;=$BC40,$BB42,$BB40)</f>
        <v>Monnie Represent</v>
      </c>
      <c r="BE42" s="16">
        <f>VLOOKUP($BD42,$AS40:$BA43,9,FALSE)</f>
        <v>6</v>
      </c>
      <c r="BF42" s="16" t="str">
        <f>IF($BE42&lt;=$BE41,$BD42,$BD41)</f>
        <v>MAN ON F.C</v>
      </c>
      <c r="BG42" s="16">
        <f>VLOOKUP($BF42,$AS40:$BA43,9,FALSE)</f>
        <v>3</v>
      </c>
      <c r="BH42" s="16">
        <f>VLOOKUP($BF42,$AS40:$BA43,8,FALSE)</f>
        <v>-2</v>
      </c>
      <c r="BI42" s="16" t="str">
        <f>IF(AND($BG42=$BG43,$BH43&gt;$BH42),$BF43,$BF42)</f>
        <v>MAN ON F.C</v>
      </c>
      <c r="BJ42" s="16">
        <f>VLOOKUP($BI42,$AS40:$BA43,9,FALSE)</f>
        <v>3</v>
      </c>
      <c r="BK42" s="16">
        <f>VLOOKUP($BI42,$AS40:$BA43,8,FALSE)</f>
        <v>-2</v>
      </c>
      <c r="BL42" s="16" t="str">
        <f>IF(AND($BJ40=$BJ42,$BK42&gt;$BK40),$BI40,$BI42)</f>
        <v>MAN ON F.C</v>
      </c>
      <c r="BM42" s="16">
        <f>VLOOKUP($BL42,$AS40:$BA43,9,FALSE)</f>
        <v>3</v>
      </c>
      <c r="BN42" s="16">
        <f>VLOOKUP($BL42,$AS40:$BA43,8,FALSE)</f>
        <v>-2</v>
      </c>
      <c r="BO42" s="16" t="str">
        <f>IF(AND($BM41=$BM42,$BN42&gt;$BN41),$BL41,$BL42)</f>
        <v>MAN ON F.C</v>
      </c>
      <c r="BP42" s="16">
        <f>VLOOKUP($BO42,$AS40:$BA43,9,FALSE)</f>
        <v>3</v>
      </c>
      <c r="BQ42" s="16">
        <f>VLOOKUP($BO42,$AS40:$BA43,8,FALSE)</f>
        <v>-2</v>
      </c>
      <c r="BR42" s="16">
        <f>VLOOKUP($BO42,$AS40:$BA43,6,FALSE)</f>
        <v>2</v>
      </c>
      <c r="BS42" s="16" t="str">
        <f>IF(AND($BP42=$BP43,$BQ42=$BQ43,$BR43&gt;$BR42),$BO43,$BO42)</f>
        <v>MAN ON F.C</v>
      </c>
      <c r="BT42" s="16">
        <f>VLOOKUP($BS42,$AS40:$BA43,9,FALSE)</f>
        <v>3</v>
      </c>
      <c r="BU42" s="16">
        <f>VLOOKUP($BS42,$AS40:$BA43,8,FALSE)</f>
        <v>-2</v>
      </c>
      <c r="BV42" s="16">
        <f>VLOOKUP($BS42,$AS40:$BA43,6,FALSE)</f>
        <v>2</v>
      </c>
      <c r="BW42" s="16" t="str">
        <f>IF(AND($BT40=$BT42,$BU40=$BU42,$BV41&gt;$BV40),$BS40,$BS42)</f>
        <v>MAN ON F.C</v>
      </c>
      <c r="BX42" s="16">
        <f>VLOOKUP($BW42,$AS40:$BA43,9,FALSE)</f>
        <v>3</v>
      </c>
      <c r="BY42" s="16">
        <f>VLOOKUP($BW42,$AS40:$BA43,8,FALSE)</f>
        <v>-2</v>
      </c>
      <c r="BZ42" s="16">
        <f>VLOOKUP($BW42,$AS40:$BA43,6,FALSE)</f>
        <v>2</v>
      </c>
      <c r="CA42" s="16" t="str">
        <f>IF(AND($BX41=$BX42,$BY41=$BY42,$BZ42&gt;$BZ41),$BW41,$BW42)</f>
        <v>MAN ON F.C</v>
      </c>
      <c r="CB42" s="16">
        <f>VLOOKUP($CA42,$AS40:$BA43,9,FALSE)</f>
        <v>3</v>
      </c>
      <c r="CC42" s="16">
        <f>VLOOKUP($CA42,$AS40:$BA43,8,FALSE)</f>
        <v>-2</v>
      </c>
      <c r="CD42" s="16">
        <f>VLOOKUP($CA42,$AS40:$BA43,6,FALSE)</f>
        <v>2</v>
      </c>
      <c r="CH42" s="16" t="str">
        <f>CA42</f>
        <v>MAN ON F.C</v>
      </c>
      <c r="CI42" s="16">
        <f>VLOOKUP($CH42,$AS40:$BA43,2,FALSE)</f>
        <v>3</v>
      </c>
      <c r="CJ42" s="16">
        <f>VLOOKUP($CH42,$AS40:$BA43,3,FALSE)</f>
        <v>1</v>
      </c>
      <c r="CK42" s="16">
        <f>VLOOKUP($CH42,$AS40:$BA43,4,FALSE)</f>
        <v>2</v>
      </c>
      <c r="CL42" s="16">
        <f>VLOOKUP($CH42,$AS40:$BA43,5,FALSE)</f>
        <v>0</v>
      </c>
      <c r="CM42" s="16">
        <f>VLOOKUP($CH42,$AS40:$BA43,6,FALSE)</f>
        <v>2</v>
      </c>
      <c r="CN42" s="16">
        <f>VLOOKUP($CH42,$AS40:$BA43,7,FALSE)</f>
        <v>4</v>
      </c>
      <c r="CO42" s="16">
        <f>VLOOKUP($CH42,$AS40:$BA43,8,FALSE)</f>
        <v>-2</v>
      </c>
      <c r="CP42" s="16">
        <f>VLOOKUP($CH42,$AS40:$BA43,9,FALSE)</f>
        <v>3</v>
      </c>
      <c r="CR42" s="21" t="e">
        <f>#REF!</f>
        <v>#REF!</v>
      </c>
    </row>
    <row r="43" spans="1:96" ht="12.95" customHeight="1" thickBot="1" x14ac:dyDescent="0.25">
      <c r="A43" s="520">
        <f>START!C3</f>
        <v>0.44791666666666669</v>
      </c>
      <c r="B43" s="518"/>
      <c r="C43" s="283"/>
      <c r="D43" s="337" t="str">
        <f>AS40</f>
        <v>Carte blanche</v>
      </c>
      <c r="E43" s="283" t="s">
        <v>16</v>
      </c>
      <c r="F43" s="518" t="str">
        <f>AS41</f>
        <v>MAN ON F.C</v>
      </c>
      <c r="G43" s="518"/>
      <c r="H43" s="518"/>
      <c r="I43" s="165">
        <f>KWALIFICATIE!O38</f>
        <v>1</v>
      </c>
      <c r="J43" s="334" t="s">
        <v>16</v>
      </c>
      <c r="K43" s="166">
        <f>KWALIFICATIE!Q38</f>
        <v>0</v>
      </c>
      <c r="L43" s="518"/>
      <c r="M43" s="518"/>
      <c r="N43" s="518"/>
      <c r="O43" s="518"/>
      <c r="P43" s="519"/>
      <c r="Q43" s="29"/>
      <c r="R43" s="520">
        <f>START!C3</f>
        <v>0.44791666666666669</v>
      </c>
      <c r="S43" s="518"/>
      <c r="T43" s="283"/>
      <c r="U43" s="337" t="str">
        <f>AS47</f>
        <v>Scherp Online</v>
      </c>
      <c r="V43" s="283" t="s">
        <v>16</v>
      </c>
      <c r="W43" s="518" t="str">
        <f>AS48</f>
        <v>Sammi's Sweathearts</v>
      </c>
      <c r="X43" s="518"/>
      <c r="Y43" s="518"/>
      <c r="Z43" s="165">
        <f>KWALIFICATIE!O40</f>
        <v>2</v>
      </c>
      <c r="AA43" s="334" t="s">
        <v>16</v>
      </c>
      <c r="AB43" s="166">
        <f>KWALIFICATIE!Q40</f>
        <v>0</v>
      </c>
      <c r="AC43" s="518"/>
      <c r="AD43" s="518"/>
      <c r="AE43" s="518"/>
      <c r="AF43" s="518"/>
      <c r="AG43" s="519"/>
      <c r="AH43" s="69" t="s">
        <v>145</v>
      </c>
      <c r="AI43" s="70" t="s">
        <v>144</v>
      </c>
      <c r="AJ43" s="70">
        <f>I47</f>
        <v>0</v>
      </c>
      <c r="AK43" s="232">
        <f>K47</f>
        <v>2</v>
      </c>
      <c r="AL43" s="73" t="s">
        <v>134</v>
      </c>
      <c r="AM43" s="50" t="s">
        <v>133</v>
      </c>
      <c r="AN43" s="44" t="s">
        <v>137</v>
      </c>
      <c r="AO43" s="45" t="str">
        <f t="shared" si="14"/>
        <v>Ireland</v>
      </c>
      <c r="AP43" s="45" t="str">
        <f t="shared" si="15"/>
        <v>Saudi Arabia</v>
      </c>
      <c r="AQ43" s="45"/>
      <c r="AS43" s="16" t="str">
        <f>KWALIFICATIE!E16</f>
        <v>FC Carnabal</v>
      </c>
      <c r="AT43" s="16">
        <f>COUNT(Cameroon_Played)</f>
        <v>2</v>
      </c>
      <c r="AU43" s="16">
        <f>COUNTIF(Groupstage_Winners,"Cameroon")</f>
        <v>0</v>
      </c>
      <c r="AV43" s="16">
        <f>COUNTIF(Groupstage_Losers,"Cameroon")</f>
        <v>2</v>
      </c>
      <c r="AW43" s="16">
        <f>AT43-(AU43+AV43)</f>
        <v>0</v>
      </c>
      <c r="AX43" s="16">
        <f>SUM(Cameroon_Played)</f>
        <v>2</v>
      </c>
      <c r="AY43" s="16">
        <f>SUM(Cameroon_Against)</f>
        <v>4</v>
      </c>
      <c r="AZ43" s="16">
        <f>AX43-AY43</f>
        <v>-2</v>
      </c>
      <c r="BA43" s="16">
        <f t="shared" si="20"/>
        <v>0</v>
      </c>
      <c r="BB43" s="16" t="str">
        <f>IF($BA43&lt;=$BA42,$AS43,$AS42)</f>
        <v>FC Carnabal</v>
      </c>
      <c r="BC43" s="16">
        <f>VLOOKUP($BB43,$AS40:$BA43,9,FALSE)</f>
        <v>0</v>
      </c>
      <c r="BD43" s="16" t="str">
        <f>IF(BC43&lt;=BC41,BB43,BB41)</f>
        <v>FC Carnabal</v>
      </c>
      <c r="BE43" s="16">
        <f>VLOOKUP($BD43,$AS40:$BA43,9,FALSE)</f>
        <v>0</v>
      </c>
      <c r="BF43" s="16" t="str">
        <f>IF($BE43&lt;=$BE40,$BD43,$BD40)</f>
        <v>FC Carnabal</v>
      </c>
      <c r="BG43" s="16">
        <f>VLOOKUP($BF43,$AS40:$BA43,9,FALSE)</f>
        <v>0</v>
      </c>
      <c r="BH43" s="16">
        <f>VLOOKUP($BF43,$AS40:$BA43,8,FALSE)</f>
        <v>-2</v>
      </c>
      <c r="BI43" s="16" t="str">
        <f>IF(AND($BG42=$BG43,$BH43&gt;$BH42),$BF42,$BF43)</f>
        <v>FC Carnabal</v>
      </c>
      <c r="BJ43" s="16">
        <f>VLOOKUP($BI43,$AS40:$BA43,9,FALSE)</f>
        <v>0</v>
      </c>
      <c r="BK43" s="16">
        <f>VLOOKUP($BI43,$AS40:$BA43,8,FALSE)</f>
        <v>-2</v>
      </c>
      <c r="BL43" s="16" t="str">
        <f>IF(AND($BJ41=$BJ43,$BK43&gt;$BK41),$BI41,$BI43)</f>
        <v>FC Carnabal</v>
      </c>
      <c r="BM43" s="16">
        <f>VLOOKUP($BL43,$AS40:$BA43,9,FALSE)</f>
        <v>0</v>
      </c>
      <c r="BN43" s="16">
        <f>VLOOKUP($BL43,$AS40:$BA43,8,FALSE)</f>
        <v>-2</v>
      </c>
      <c r="BO43" s="16" t="str">
        <f>IF(AND($BM40=$BM43,$BN43&gt;$BN40),$BL40,$BL43)</f>
        <v>FC Carnabal</v>
      </c>
      <c r="BP43" s="16">
        <f>VLOOKUP($BO43,$AS40:$BA43,9,FALSE)</f>
        <v>0</v>
      </c>
      <c r="BQ43" s="16">
        <f>VLOOKUP($BO43,$AS40:$BA43,8,FALSE)</f>
        <v>-2</v>
      </c>
      <c r="BR43" s="16">
        <f>VLOOKUP($BO43,$AS40:$BA43,6,FALSE)</f>
        <v>2</v>
      </c>
      <c r="BS43" s="16" t="str">
        <f>IF(AND($BP42=$BP43,$BQ42=$BQ43,$BR43&gt;$BR42),$BO42,$BO43)</f>
        <v>FC Carnabal</v>
      </c>
      <c r="BT43" s="16">
        <f>VLOOKUP($BS43,$AS40:$BA43,9,FALSE)</f>
        <v>0</v>
      </c>
      <c r="BU43" s="16">
        <f>VLOOKUP($BS43,$AS40:$BA43,8,FALSE)</f>
        <v>-2</v>
      </c>
      <c r="BV43" s="16">
        <f>VLOOKUP($BS43,$AS40:$BA43,6,FALSE)</f>
        <v>2</v>
      </c>
      <c r="BW43" s="16" t="str">
        <f>IF(AND($BT41=$BT43,$BU41=$BU43,$BV43&gt;$BV41),$BS41,$BS43)</f>
        <v>FC Carnabal</v>
      </c>
      <c r="BX43" s="16">
        <f>VLOOKUP($BW43,$AS40:$BA43,9,FALSE)</f>
        <v>0</v>
      </c>
      <c r="BY43" s="16">
        <f>VLOOKUP($BW43,$AS40:$BA43,8,FALSE)</f>
        <v>-2</v>
      </c>
      <c r="BZ43" s="16">
        <f>VLOOKUP($BW43,$AS40:$BA43,6,FALSE)</f>
        <v>2</v>
      </c>
      <c r="CA43" s="16" t="str">
        <f>IF(AND($BX40=$BX43,$BY40=$BY43,$BZ43&gt;$BZ40),$BW40,$BW43)</f>
        <v>FC Carnabal</v>
      </c>
      <c r="CB43" s="16">
        <f>VLOOKUP($CA43,$AS40:$BA43,9,FALSE)</f>
        <v>0</v>
      </c>
      <c r="CC43" s="16">
        <f>VLOOKUP($CA43,$AS40:$BA43,8,FALSE)</f>
        <v>-2</v>
      </c>
      <c r="CD43" s="16">
        <f>VLOOKUP($CA43,$AS40:$BA43,6,FALSE)</f>
        <v>2</v>
      </c>
      <c r="CH43" s="16" t="str">
        <f>CA43</f>
        <v>FC Carnabal</v>
      </c>
      <c r="CI43" s="16">
        <f>VLOOKUP($CH43,$AS40:$BA43,2,FALSE)</f>
        <v>2</v>
      </c>
      <c r="CJ43" s="16">
        <f>VLOOKUP($CH43,$AS40:$BA43,3,FALSE)</f>
        <v>0</v>
      </c>
      <c r="CK43" s="16">
        <f>VLOOKUP($CH43,$AS40:$BA43,4,FALSE)</f>
        <v>2</v>
      </c>
      <c r="CL43" s="16">
        <f>VLOOKUP($CH43,$AS40:$BA43,5,FALSE)</f>
        <v>0</v>
      </c>
      <c r="CM43" s="16">
        <f>VLOOKUP($CH43,$AS40:$BA43,6,FALSE)</f>
        <v>2</v>
      </c>
      <c r="CN43" s="16">
        <f>VLOOKUP($CH43,$AS40:$BA43,7,FALSE)</f>
        <v>4</v>
      </c>
      <c r="CO43" s="16">
        <f>VLOOKUP($CH43,$AS40:$BA43,8,FALSE)</f>
        <v>-2</v>
      </c>
      <c r="CP43" s="16">
        <f>VLOOKUP($CH43,$AS40:$BA43,9,FALSE)</f>
        <v>0</v>
      </c>
      <c r="CR43" s="21" t="e">
        <f>#REF!</f>
        <v>#REF!</v>
      </c>
    </row>
    <row r="44" spans="1:96" ht="12.95" customHeight="1" thickBot="1" x14ac:dyDescent="0.25">
      <c r="A44" s="520">
        <f>A43</f>
        <v>0.44791666666666669</v>
      </c>
      <c r="B44" s="518"/>
      <c r="C44" s="283"/>
      <c r="D44" s="24" t="str">
        <f>AS42</f>
        <v>Monnie Represent</v>
      </c>
      <c r="E44" s="283" t="s">
        <v>16</v>
      </c>
      <c r="F44" s="518" t="str">
        <f>AS43</f>
        <v>FC Carnabal</v>
      </c>
      <c r="G44" s="518"/>
      <c r="H44" s="518"/>
      <c r="I44" s="165">
        <f>KWALIFICATIE!O39</f>
        <v>2</v>
      </c>
      <c r="J44" s="334" t="s">
        <v>16</v>
      </c>
      <c r="K44" s="166">
        <f>KWALIFICATIE!Q39</f>
        <v>1</v>
      </c>
      <c r="L44" s="518"/>
      <c r="M44" s="518"/>
      <c r="N44" s="518"/>
      <c r="O44" s="518"/>
      <c r="P44" s="519"/>
      <c r="Q44" s="29"/>
      <c r="R44" s="520">
        <f>R43</f>
        <v>0.44791666666666669</v>
      </c>
      <c r="S44" s="518"/>
      <c r="T44" s="283"/>
      <c r="U44" s="24" t="str">
        <f>AS49</f>
        <v>#illuminaticonfirmed</v>
      </c>
      <c r="V44" s="283" t="s">
        <v>16</v>
      </c>
      <c r="W44" s="518" t="str">
        <f>AS50</f>
        <v>Team Bublé</v>
      </c>
      <c r="X44" s="518"/>
      <c r="Y44" s="518"/>
      <c r="Z44" s="165">
        <f>KWALIFICATIE!O41</f>
        <v>0</v>
      </c>
      <c r="AA44" s="334" t="s">
        <v>16</v>
      </c>
      <c r="AB44" s="166">
        <f>KWALIFICATIE!Q41</f>
        <v>0</v>
      </c>
      <c r="AC44" s="518"/>
      <c r="AD44" s="518"/>
      <c r="AE44" s="518"/>
      <c r="AF44" s="518"/>
      <c r="AG44" s="519"/>
      <c r="AH44" s="69" t="s">
        <v>136</v>
      </c>
      <c r="AI44" s="70" t="s">
        <v>135</v>
      </c>
      <c r="AJ44" s="70" t="str">
        <f>I48</f>
        <v>…</v>
      </c>
      <c r="AK44" s="232" t="str">
        <f>K48</f>
        <v>…</v>
      </c>
      <c r="AL44" s="73" t="s">
        <v>143</v>
      </c>
      <c r="AM44" s="50" t="s">
        <v>142</v>
      </c>
      <c r="AN44" s="44" t="s">
        <v>137</v>
      </c>
      <c r="AO44" s="45" t="str">
        <f t="shared" si="14"/>
        <v>Draw</v>
      </c>
      <c r="AP44" s="45" t="str">
        <f t="shared" si="15"/>
        <v>Draw</v>
      </c>
      <c r="AQ44" s="45"/>
      <c r="CR44" s="21" t="e">
        <f>#REF!</f>
        <v>#REF!</v>
      </c>
    </row>
    <row r="45" spans="1:96" ht="12.95" customHeight="1" thickBot="1" x14ac:dyDescent="0.25">
      <c r="A45" s="520">
        <f>START!C6</f>
        <v>0.47916666666666669</v>
      </c>
      <c r="B45" s="518"/>
      <c r="C45" s="283"/>
      <c r="D45" s="24" t="str">
        <f>AS40</f>
        <v>Carte blanche</v>
      </c>
      <c r="E45" s="283" t="s">
        <v>16</v>
      </c>
      <c r="F45" s="518" t="str">
        <f>AS42</f>
        <v>Monnie Represent</v>
      </c>
      <c r="G45" s="518"/>
      <c r="H45" s="518"/>
      <c r="I45" s="165">
        <f>KWALIFICATIE!O64</f>
        <v>2</v>
      </c>
      <c r="J45" s="334" t="s">
        <v>16</v>
      </c>
      <c r="K45" s="166">
        <f>KWALIFICATIE!Q64</f>
        <v>0</v>
      </c>
      <c r="L45" s="518"/>
      <c r="M45" s="518"/>
      <c r="N45" s="518"/>
      <c r="O45" s="518"/>
      <c r="P45" s="519"/>
      <c r="R45" s="520">
        <f>START!C7</f>
        <v>0.48958333333333331</v>
      </c>
      <c r="S45" s="518"/>
      <c r="T45" s="283"/>
      <c r="U45" s="24" t="str">
        <f>AS47</f>
        <v>Scherp Online</v>
      </c>
      <c r="V45" s="283" t="s">
        <v>16</v>
      </c>
      <c r="W45" s="518" t="str">
        <f>AS49</f>
        <v>#illuminaticonfirmed</v>
      </c>
      <c r="X45" s="518"/>
      <c r="Y45" s="518"/>
      <c r="Z45" s="165" t="str">
        <f>KWALIFICATIE!AQ69</f>
        <v>…</v>
      </c>
      <c r="AA45" s="334" t="s">
        <v>16</v>
      </c>
      <c r="AB45" s="166" t="str">
        <f>KWALIFICATIE!AS69</f>
        <v>…</v>
      </c>
      <c r="AC45" s="518"/>
      <c r="AD45" s="518"/>
      <c r="AE45" s="518"/>
      <c r="AF45" s="518"/>
      <c r="AG45" s="519"/>
      <c r="AH45" s="69" t="s">
        <v>158</v>
      </c>
      <c r="AI45" s="70" t="s">
        <v>157</v>
      </c>
      <c r="AJ45" s="70">
        <f>Z47</f>
        <v>1</v>
      </c>
      <c r="AK45" s="232">
        <f>AB47</f>
        <v>4</v>
      </c>
      <c r="AL45" s="73" t="s">
        <v>147</v>
      </c>
      <c r="AM45" s="50" t="s">
        <v>146</v>
      </c>
      <c r="AN45" s="44" t="s">
        <v>127</v>
      </c>
      <c r="AO45" s="45" t="str">
        <f>IF(AJ45&lt;&gt;"",IF(AJ45&gt;AK45,AI45,IF(AK45&gt;AJ45,AL45,"Draw")),"")</f>
        <v>England</v>
      </c>
      <c r="AP45" s="45" t="str">
        <f>IF(AJ45&lt;&gt;"",IF(AJ45&lt;AK45,AI45,IF(AK45&lt;AJ45,AL45,"Draw")),"")</f>
        <v>Nigeria</v>
      </c>
      <c r="AQ45" s="45"/>
      <c r="AS45" s="16" t="s">
        <v>207</v>
      </c>
      <c r="CR45" s="21" t="e">
        <f>#REF!</f>
        <v>#REF!</v>
      </c>
    </row>
    <row r="46" spans="1:96" ht="12.95" customHeight="1" thickBot="1" x14ac:dyDescent="0.25">
      <c r="A46" s="520">
        <f>A45</f>
        <v>0.47916666666666669</v>
      </c>
      <c r="B46" s="518"/>
      <c r="C46" s="283"/>
      <c r="D46" s="24" t="str">
        <f>AS43</f>
        <v>FC Carnabal</v>
      </c>
      <c r="E46" s="283" t="s">
        <v>16</v>
      </c>
      <c r="F46" s="518" t="str">
        <f>AS41</f>
        <v>MAN ON F.C</v>
      </c>
      <c r="G46" s="518"/>
      <c r="H46" s="518"/>
      <c r="I46" s="165">
        <f>KWALIFICATIE!AD31</f>
        <v>1</v>
      </c>
      <c r="J46" s="334" t="s">
        <v>16</v>
      </c>
      <c r="K46" s="166">
        <f>KWALIFICATIE!AF31</f>
        <v>2</v>
      </c>
      <c r="L46" s="518"/>
      <c r="M46" s="518"/>
      <c r="N46" s="518"/>
      <c r="O46" s="518"/>
      <c r="P46" s="519"/>
      <c r="R46" s="520">
        <f>R45</f>
        <v>0.48958333333333331</v>
      </c>
      <c r="S46" s="518"/>
      <c r="T46" s="283"/>
      <c r="U46" s="24" t="str">
        <f>AS50</f>
        <v>Team Bublé</v>
      </c>
      <c r="V46" s="283" t="s">
        <v>16</v>
      </c>
      <c r="W46" s="518" t="str">
        <f>AS48</f>
        <v>Sammi's Sweathearts</v>
      </c>
      <c r="X46" s="518"/>
      <c r="Y46" s="518"/>
      <c r="Z46" s="165" t="str">
        <f>KWALIFICATIE!AQ70</f>
        <v>…</v>
      </c>
      <c r="AA46" s="334" t="s">
        <v>16</v>
      </c>
      <c r="AB46" s="166" t="str">
        <f>KWALIFICATIE!AS70</f>
        <v>…</v>
      </c>
      <c r="AC46" s="518"/>
      <c r="AD46" s="518"/>
      <c r="AE46" s="518"/>
      <c r="AF46" s="518"/>
      <c r="AG46" s="519"/>
      <c r="AH46" s="69" t="s">
        <v>149</v>
      </c>
      <c r="AI46" s="70" t="s">
        <v>148</v>
      </c>
      <c r="AJ46" s="70">
        <f>Z48</f>
        <v>0</v>
      </c>
      <c r="AK46" s="232">
        <f>AB48</f>
        <v>0</v>
      </c>
      <c r="AL46" s="73" t="s">
        <v>156</v>
      </c>
      <c r="AM46" s="50" t="s">
        <v>155</v>
      </c>
      <c r="AN46" s="44" t="s">
        <v>127</v>
      </c>
      <c r="AO46" s="45" t="str">
        <f>IF(AJ46&lt;&gt;"",IF(AJ46&gt;AK46,AI46,IF(AK46&gt;AJ46,AL46,"Draw")),"")</f>
        <v>Draw</v>
      </c>
      <c r="AP46" s="45" t="str">
        <f>IF(AJ46&lt;&gt;"",IF(AJ46&lt;AK46,AI46,IF(AK46&lt;AJ46,AL46,"Draw")),"")</f>
        <v>Draw</v>
      </c>
      <c r="AQ46" s="45"/>
      <c r="AT46" s="16" t="s">
        <v>124</v>
      </c>
      <c r="AU46" s="16" t="s">
        <v>110</v>
      </c>
      <c r="AV46" s="16" t="s">
        <v>125</v>
      </c>
      <c r="AW46" s="16" t="s">
        <v>126</v>
      </c>
      <c r="AX46" s="16" t="s">
        <v>127</v>
      </c>
      <c r="AY46" s="16" t="s">
        <v>123</v>
      </c>
      <c r="AZ46" s="16" t="s">
        <v>128</v>
      </c>
      <c r="BA46" s="16" t="s">
        <v>129</v>
      </c>
      <c r="CR46" s="21" t="e">
        <f>#REF!</f>
        <v>#REF!</v>
      </c>
    </row>
    <row r="47" spans="1:96" ht="12.95" customHeight="1" thickBot="1" x14ac:dyDescent="0.25">
      <c r="A47" s="520">
        <f>START!C10</f>
        <v>0.52083333333333337</v>
      </c>
      <c r="B47" s="518"/>
      <c r="C47" s="283"/>
      <c r="D47" s="24" t="str">
        <f>AS41</f>
        <v>MAN ON F.C</v>
      </c>
      <c r="E47" s="283" t="s">
        <v>16</v>
      </c>
      <c r="F47" s="518" t="str">
        <f>AS42</f>
        <v>Monnie Represent</v>
      </c>
      <c r="G47" s="518"/>
      <c r="H47" s="518"/>
      <c r="I47" s="165">
        <f>EINDRONDE!O23</f>
        <v>0</v>
      </c>
      <c r="J47" s="334" t="s">
        <v>16</v>
      </c>
      <c r="K47" s="166">
        <f>EINDRONDE!Q23</f>
        <v>2</v>
      </c>
      <c r="L47" s="518"/>
      <c r="M47" s="518"/>
      <c r="N47" s="518"/>
      <c r="O47" s="518"/>
      <c r="P47" s="519"/>
      <c r="R47" s="520">
        <f>START!C10</f>
        <v>0.52083333333333337</v>
      </c>
      <c r="S47" s="518"/>
      <c r="T47" s="283"/>
      <c r="U47" s="24" t="str">
        <f>AS48</f>
        <v>Sammi's Sweathearts</v>
      </c>
      <c r="V47" s="283" t="s">
        <v>16</v>
      </c>
      <c r="W47" s="518" t="str">
        <f>AS49</f>
        <v>#illuminaticonfirmed</v>
      </c>
      <c r="X47" s="518"/>
      <c r="Y47" s="518"/>
      <c r="Z47" s="165">
        <f>EINDRONDE!O25</f>
        <v>1</v>
      </c>
      <c r="AA47" s="334" t="s">
        <v>16</v>
      </c>
      <c r="AB47" s="166">
        <f>EINDRONDE!Q25</f>
        <v>4</v>
      </c>
      <c r="AC47" s="518"/>
      <c r="AD47" s="518"/>
      <c r="AE47" s="518"/>
      <c r="AF47" s="518"/>
      <c r="AG47" s="519"/>
      <c r="AH47" s="69" t="s">
        <v>163</v>
      </c>
      <c r="AI47" s="70" t="s">
        <v>162</v>
      </c>
      <c r="AJ47" s="70">
        <f>Z15</f>
        <v>1</v>
      </c>
      <c r="AK47" s="232">
        <f>AB15</f>
        <v>0</v>
      </c>
      <c r="AL47" s="73" t="s">
        <v>151</v>
      </c>
      <c r="AM47" s="50" t="s">
        <v>150</v>
      </c>
      <c r="AN47" s="44" t="s">
        <v>154</v>
      </c>
      <c r="AO47" s="45" t="str">
        <f>IF(AJ47&lt;&gt;"",IF(AJ47&gt;AK47,AI47,IF(AK47&gt;AJ47,AL47,"Draw")),"")</f>
        <v>Slovenia</v>
      </c>
      <c r="AP47" s="45" t="str">
        <f>IF(AJ47&lt;&gt;"",IF(AJ47&lt;AK47,AI47,IF(AK47&lt;AJ47,AL47,"Draw")),"")</f>
        <v>Paraguay</v>
      </c>
      <c r="AQ47" s="45"/>
      <c r="AS47" s="16" t="str">
        <f>KWALIFICATIE!L12</f>
        <v>Scherp Online</v>
      </c>
      <c r="AT47" s="16">
        <f>COUNT(Argentina_Played)</f>
        <v>2</v>
      </c>
      <c r="AU47" s="16">
        <f>COUNTIF(Groupstage_Winners,"Argentina")</f>
        <v>1</v>
      </c>
      <c r="AV47" s="16">
        <f>COUNTIF(Groupstage_Losers,"Argentina")</f>
        <v>0</v>
      </c>
      <c r="AW47" s="16">
        <f>AT47-(AU47+AV47)</f>
        <v>1</v>
      </c>
      <c r="AX47" s="16">
        <f>SUM(Argentina_Played)</f>
        <v>2</v>
      </c>
      <c r="AY47" s="16">
        <f>SUM(Argentina_Against)</f>
        <v>0</v>
      </c>
      <c r="AZ47" s="16">
        <f>AX47-AY47</f>
        <v>2</v>
      </c>
      <c r="BA47" s="16">
        <f>SUM((AU47*3)+(AW47*1))</f>
        <v>4</v>
      </c>
      <c r="BB47" s="16" t="str">
        <f>IF($BA47&gt;=$BA48,$AS47,$AS48)</f>
        <v>Scherp Online</v>
      </c>
      <c r="BC47" s="16">
        <f>VLOOKUP($BB47,$AS47:$BA50,9,FALSE)</f>
        <v>4</v>
      </c>
      <c r="BD47" s="16" t="str">
        <f>IF($BC47&gt;=$BC49,$BB47,$BB49)</f>
        <v>Scherp Online</v>
      </c>
      <c r="BE47" s="16">
        <f>VLOOKUP($BD47,$AS47:$BA50,9,FALSE)</f>
        <v>4</v>
      </c>
      <c r="BF47" s="16" t="str">
        <f>IF($BE47&gt;=$BE50,$BD47,$BD50)</f>
        <v>Scherp Online</v>
      </c>
      <c r="BG47" s="16">
        <f>VLOOKUP($BF47,$AS47:$BA50,9,FALSE)</f>
        <v>4</v>
      </c>
      <c r="BH47" s="16">
        <f>VLOOKUP($BF47,$AS47:$BA50,8,FALSE)</f>
        <v>2</v>
      </c>
      <c r="BI47" s="16" t="str">
        <f>IF(AND($BG47=$BG48,$BH48&gt;$BH47),$BF48,$BF47)</f>
        <v>#illuminaticonfirmed</v>
      </c>
      <c r="BJ47" s="16">
        <f>VLOOKUP($BI47,$AS47:$BA50,9,FALSE)</f>
        <v>4</v>
      </c>
      <c r="BK47" s="16">
        <f>VLOOKUP($BI47,$AS47:$BA50,8,FALSE)</f>
        <v>3</v>
      </c>
      <c r="BL47" s="16" t="str">
        <f>IF(AND($BJ47=$BJ49,$BK49&gt;$BK47),$BI49,$BI47)</f>
        <v>#illuminaticonfirmed</v>
      </c>
      <c r="BM47" s="16">
        <f>VLOOKUP($BL47,$AS47:$BA50,9,FALSE)</f>
        <v>4</v>
      </c>
      <c r="BN47" s="16">
        <f>VLOOKUP($BL47,$AS47:$BA50,8,FALSE)</f>
        <v>3</v>
      </c>
      <c r="BO47" s="16" t="str">
        <f>IF(AND($BM47=$BM50,$BN50&gt;$BN47),$BL50,$BL47)</f>
        <v>#illuminaticonfirmed</v>
      </c>
      <c r="BP47" s="16">
        <f>VLOOKUP($BO47,$AS47:$BA50,9,FALSE)</f>
        <v>4</v>
      </c>
      <c r="BQ47" s="16">
        <f>VLOOKUP($BO47,$AS47:$BA50,8,FALSE)</f>
        <v>3</v>
      </c>
      <c r="BR47" s="16">
        <f>VLOOKUP($BO47,$AS47:$BA50,6,FALSE)</f>
        <v>4</v>
      </c>
      <c r="BS47" s="16" t="str">
        <f>IF(AND($BP47=$BP48,$BQ47=$BQ48,$BR48&gt;$BR47),$BO48,$BO47)</f>
        <v>#illuminaticonfirmed</v>
      </c>
      <c r="BT47" s="16">
        <f>VLOOKUP($BS47,$AS47:$BA50,9,FALSE)</f>
        <v>4</v>
      </c>
      <c r="BU47" s="16">
        <f>VLOOKUP($BS47,$AS47:$BA50,8,FALSE)</f>
        <v>3</v>
      </c>
      <c r="BV47" s="16">
        <f>VLOOKUP($BS47,$AS47:$BA50,6,FALSE)</f>
        <v>4</v>
      </c>
      <c r="BW47" s="16" t="str">
        <f>IF(AND($BT47=$BT49,$BU47=$BU49,$BV49&gt;$BV47),$BS49,$BS47)</f>
        <v>#illuminaticonfirmed</v>
      </c>
      <c r="BX47" s="16">
        <f>VLOOKUP($BW47,$AS47:$BA50,9,FALSE)</f>
        <v>4</v>
      </c>
      <c r="BY47" s="16">
        <f>VLOOKUP($BW47,$AS47:$BA50,8,FALSE)</f>
        <v>3</v>
      </c>
      <c r="BZ47" s="16">
        <f>VLOOKUP($BW47,$AS47:$BA50,6,FALSE)</f>
        <v>4</v>
      </c>
      <c r="CA47" s="16" t="str">
        <f>IF(AND($BX47=$BX50,$BY47=$BY50,$BZ50&gt;$BZ47),$BW50,$BW47)</f>
        <v>#illuminaticonfirmed</v>
      </c>
      <c r="CB47" s="16">
        <f>VLOOKUP($CA47,$AS47:$BA50,9,FALSE)</f>
        <v>4</v>
      </c>
      <c r="CC47" s="16">
        <f>VLOOKUP($CA47,$AS47:$BA50,8,FALSE)</f>
        <v>3</v>
      </c>
      <c r="CD47" s="16">
        <f>VLOOKUP($CA47,$AS47:$BA50,6,FALSE)</f>
        <v>4</v>
      </c>
      <c r="CH47" s="16" t="str">
        <f>CA47</f>
        <v>#illuminaticonfirmed</v>
      </c>
      <c r="CI47" s="16">
        <f>VLOOKUP($CH47,$AS47:$BA50,2,FALSE)</f>
        <v>2</v>
      </c>
      <c r="CJ47" s="16">
        <f>VLOOKUP($CH47,$AS47:$BA50,3,FALSE)</f>
        <v>1</v>
      </c>
      <c r="CK47" s="16">
        <f>VLOOKUP($CH47,$AS47:$BA50,4,FALSE)</f>
        <v>0</v>
      </c>
      <c r="CL47" s="16">
        <f>VLOOKUP($CH47,$AS47:$BA50,5,FALSE)</f>
        <v>1</v>
      </c>
      <c r="CM47" s="16">
        <f>VLOOKUP($CH47,$AS47:$BA50,6,FALSE)</f>
        <v>4</v>
      </c>
      <c r="CN47" s="16">
        <f>VLOOKUP($CH47,$AS47:$BA50,7,FALSE)</f>
        <v>1</v>
      </c>
      <c r="CO47" s="16">
        <f>VLOOKUP($CH47,$AS47:$BA50,8,FALSE)</f>
        <v>3</v>
      </c>
      <c r="CP47" s="16">
        <f>VLOOKUP($CH47,$AS47:$BA50,9,FALSE)</f>
        <v>4</v>
      </c>
      <c r="CR47" s="21" t="e">
        <f>#REF!</f>
        <v>#REF!</v>
      </c>
    </row>
    <row r="48" spans="1:96" ht="12.95" customHeight="1" thickBot="1" x14ac:dyDescent="0.25">
      <c r="A48" s="528">
        <f>A47</f>
        <v>0.52083333333333337</v>
      </c>
      <c r="B48" s="529"/>
      <c r="C48" s="272"/>
      <c r="D48" s="30" t="str">
        <f>AS43</f>
        <v>FC Carnabal</v>
      </c>
      <c r="E48" s="272" t="s">
        <v>16</v>
      </c>
      <c r="F48" s="529" t="str">
        <f>AS40</f>
        <v>Carte blanche</v>
      </c>
      <c r="G48" s="529"/>
      <c r="H48" s="529"/>
      <c r="I48" s="248" t="str">
        <f>EINDRONDE!O24</f>
        <v>…</v>
      </c>
      <c r="J48" s="247" t="s">
        <v>16</v>
      </c>
      <c r="K48" s="249" t="str">
        <f>EINDRONDE!Q24</f>
        <v>…</v>
      </c>
      <c r="L48" s="529"/>
      <c r="M48" s="529"/>
      <c r="N48" s="529"/>
      <c r="O48" s="529"/>
      <c r="P48" s="530"/>
      <c r="R48" s="528">
        <f>R47</f>
        <v>0.52083333333333337</v>
      </c>
      <c r="S48" s="529"/>
      <c r="T48" s="272"/>
      <c r="U48" s="30" t="str">
        <f>AS50</f>
        <v>Team Bublé</v>
      </c>
      <c r="V48" s="272" t="s">
        <v>16</v>
      </c>
      <c r="W48" s="529" t="str">
        <f>AS47</f>
        <v>Scherp Online</v>
      </c>
      <c r="X48" s="529"/>
      <c r="Y48" s="529"/>
      <c r="Z48" s="248">
        <f>EINDRONDE!O26</f>
        <v>0</v>
      </c>
      <c r="AA48" s="247" t="s">
        <v>16</v>
      </c>
      <c r="AB48" s="249">
        <f>EINDRONDE!Q26</f>
        <v>0</v>
      </c>
      <c r="AC48" s="529"/>
      <c r="AD48" s="529"/>
      <c r="AE48" s="529"/>
      <c r="AF48" s="529"/>
      <c r="AG48" s="530"/>
      <c r="AH48" s="69" t="s">
        <v>153</v>
      </c>
      <c r="AI48" s="70" t="s">
        <v>152</v>
      </c>
      <c r="AJ48" s="70">
        <f>Z16</f>
        <v>2</v>
      </c>
      <c r="AK48" s="232">
        <f>AB16</f>
        <v>1</v>
      </c>
      <c r="AL48" s="73" t="s">
        <v>161</v>
      </c>
      <c r="AM48" s="50" t="s">
        <v>160</v>
      </c>
      <c r="AN48" s="44" t="s">
        <v>154</v>
      </c>
      <c r="AO48" s="45" t="str">
        <f>IF(AJ48&lt;&gt;"",IF(AJ48&gt;AK48,AI48,IF(AK48&gt;AJ48,AL48,"Draw")),"")</f>
        <v>South Africa</v>
      </c>
      <c r="AP48" s="45" t="str">
        <f>IF(AJ48&lt;&gt;"",IF(AJ48&lt;AK48,AI48,IF(AK48&lt;AJ48,AL48,"Draw")),"")</f>
        <v>Spain</v>
      </c>
      <c r="AQ48" s="45"/>
      <c r="AS48" s="16" t="str">
        <f>KWALIFICATIE!L13</f>
        <v>Sammi's Sweathearts</v>
      </c>
      <c r="AT48" s="16">
        <f>COUNT(Nigeria_Played)</f>
        <v>2</v>
      </c>
      <c r="AU48" s="16">
        <f>COUNTIF(Groupstage_Winners,"Nigeria")</f>
        <v>0</v>
      </c>
      <c r="AV48" s="16">
        <f>COUNTIF(Groupstage_Losers,"Nigeria")</f>
        <v>2</v>
      </c>
      <c r="AW48" s="16">
        <f>AT48-(AU48+AV48)</f>
        <v>0</v>
      </c>
      <c r="AX48" s="16">
        <f>SUM(Nigeria_Played)</f>
        <v>1</v>
      </c>
      <c r="AY48" s="16">
        <f>SUM(Nigeria_Against)</f>
        <v>6</v>
      </c>
      <c r="AZ48" s="16">
        <f>AX48-AY48</f>
        <v>-5</v>
      </c>
      <c r="BA48" s="16">
        <f t="shared" ref="BA48:BA50" si="21">SUM((AU48*3)+(AW48*1))</f>
        <v>0</v>
      </c>
      <c r="BB48" s="16" t="str">
        <f>IF($BA48&lt;=$BA47,$AS48,$AS47)</f>
        <v>Sammi's Sweathearts</v>
      </c>
      <c r="BC48" s="16">
        <f>VLOOKUP($BB48,$AS47:$BA50,9,FALSE)</f>
        <v>0</v>
      </c>
      <c r="BD48" s="16" t="str">
        <f>IF(BC48&gt;=BC50,BB48,BB50)</f>
        <v>Team Bublé</v>
      </c>
      <c r="BE48" s="16">
        <f>VLOOKUP($BD48,$AS47:$BA50,9,FALSE)</f>
        <v>2</v>
      </c>
      <c r="BF48" s="16" t="str">
        <f>IF($BE48&gt;=$BE49,$BD48,$BD49)</f>
        <v>#illuminaticonfirmed</v>
      </c>
      <c r="BG48" s="16">
        <f>VLOOKUP($BF48,$AS47:$BA50,9,FALSE)</f>
        <v>4</v>
      </c>
      <c r="BH48" s="16">
        <f>VLOOKUP($BF48,$AS47:$BA50,8,FALSE)</f>
        <v>3</v>
      </c>
      <c r="BI48" s="16" t="str">
        <f>IF(AND($BG47=$BG48,$BH48&gt;$BH47),$BF47,$BF48)</f>
        <v>Scherp Online</v>
      </c>
      <c r="BJ48" s="16">
        <f>VLOOKUP($BI48,$AS47:$BA50,9,FALSE)</f>
        <v>4</v>
      </c>
      <c r="BK48" s="16">
        <f>VLOOKUP($BI48,$AS47:$BA50,8,FALSE)</f>
        <v>2</v>
      </c>
      <c r="BL48" s="16" t="str">
        <f>IF(AND($BJ48=$BJ50,$BK50&gt;$BK48),$BI50,$BI48)</f>
        <v>Scherp Online</v>
      </c>
      <c r="BM48" s="16">
        <f>VLOOKUP($BL48,$AS47:$BA50,9,FALSE)</f>
        <v>4</v>
      </c>
      <c r="BN48" s="16">
        <f>VLOOKUP($BL48,$AS47:$BA50,8,FALSE)</f>
        <v>2</v>
      </c>
      <c r="BO48" s="16" t="str">
        <f>IF(AND($BM48=$BM49,$BN49&gt;$BN48),$BL49,$BL48)</f>
        <v>Scherp Online</v>
      </c>
      <c r="BP48" s="16">
        <f>VLOOKUP($BO48,$AS47:$BA50,9,FALSE)</f>
        <v>4</v>
      </c>
      <c r="BQ48" s="16">
        <f>VLOOKUP($BO48,$AS47:$BA50,8,FALSE)</f>
        <v>2</v>
      </c>
      <c r="BR48" s="16">
        <f>VLOOKUP($BO48,$AS47:$BA50,6,FALSE)</f>
        <v>2</v>
      </c>
      <c r="BS48" s="16" t="str">
        <f>IF(AND($BP47=$BP48,$BQ47=$BQ48,$BR48&gt;$BR47),$BO47,$BO48)</f>
        <v>Scherp Online</v>
      </c>
      <c r="BT48" s="16">
        <f>VLOOKUP($BS48,$AS47:$BA50,9,FALSE)</f>
        <v>4</v>
      </c>
      <c r="BU48" s="16">
        <f>VLOOKUP($BS48,$AS47:$BA50,8,FALSE)</f>
        <v>2</v>
      </c>
      <c r="BV48" s="16">
        <f>VLOOKUP($BS48,$AS47:$BA50,6,FALSE)</f>
        <v>2</v>
      </c>
      <c r="BW48" s="16" t="str">
        <f>IF(AND($BT48=$BT50,$BU48=$BU50,$BV50&gt;$BV48),$BS50,$BS48)</f>
        <v>Scherp Online</v>
      </c>
      <c r="BX48" s="16">
        <f>VLOOKUP($BW48,$AS47:$BA50,9,FALSE)</f>
        <v>4</v>
      </c>
      <c r="BY48" s="16">
        <f>VLOOKUP($BW48,$AS47:$BA50,8,FALSE)</f>
        <v>2</v>
      </c>
      <c r="BZ48" s="16">
        <f>VLOOKUP($BW48,$AS47:$BA50,6,FALSE)</f>
        <v>2</v>
      </c>
      <c r="CA48" s="16" t="str">
        <f>IF(AND($BX48=$BX49,$BY48=$BY49,$BZ49&gt;$BZ48),$BW49,$BW48)</f>
        <v>Scherp Online</v>
      </c>
      <c r="CB48" s="16">
        <f>VLOOKUP($CA48,$AS47:$BA50,9,FALSE)</f>
        <v>4</v>
      </c>
      <c r="CC48" s="16">
        <f>VLOOKUP($CA48,$AS47:$BA50,8,FALSE)</f>
        <v>2</v>
      </c>
      <c r="CD48" s="16">
        <f>VLOOKUP($CA48,$AS47:$BA50,6,FALSE)</f>
        <v>2</v>
      </c>
      <c r="CH48" s="16" t="str">
        <f>CA48</f>
        <v>Scherp Online</v>
      </c>
      <c r="CI48" s="16">
        <f>VLOOKUP($CH48,$AS47:$BA50,2,FALSE)</f>
        <v>2</v>
      </c>
      <c r="CJ48" s="16">
        <f>VLOOKUP($CH48,$AS47:$BA50,3,FALSE)</f>
        <v>1</v>
      </c>
      <c r="CK48" s="16">
        <f>VLOOKUP($CH48,$AS47:$BA50,4,FALSE)</f>
        <v>0</v>
      </c>
      <c r="CL48" s="16">
        <f>VLOOKUP($CH48,$AS47:$BA50,5,FALSE)</f>
        <v>1</v>
      </c>
      <c r="CM48" s="16">
        <f>VLOOKUP($CH48,$AS47:$BA50,6,FALSE)</f>
        <v>2</v>
      </c>
      <c r="CN48" s="16">
        <f>VLOOKUP($CH48,$AS47:$BA50,7,FALSE)</f>
        <v>0</v>
      </c>
      <c r="CO48" s="16">
        <f>VLOOKUP($CH48,$AS47:$BA50,8,FALSE)</f>
        <v>2</v>
      </c>
      <c r="CP48" s="16">
        <f>VLOOKUP($CH48,$AS47:$BA50,9,FALSE)</f>
        <v>4</v>
      </c>
      <c r="CR48" s="21" t="e">
        <f>#REF!</f>
        <v>#REF!</v>
      </c>
    </row>
    <row r="49" spans="1:96" ht="13.5" thickBot="1" x14ac:dyDescent="0.25">
      <c r="AH49" s="69" t="s">
        <v>171</v>
      </c>
      <c r="AI49" s="70" t="s">
        <v>170</v>
      </c>
      <c r="AJ49" s="70">
        <f>I30</f>
        <v>2</v>
      </c>
      <c r="AK49" s="232">
        <f>K30</f>
        <v>0</v>
      </c>
      <c r="AL49" s="73" t="s">
        <v>178</v>
      </c>
      <c r="AM49" s="52" t="s">
        <v>177</v>
      </c>
      <c r="AN49" s="44" t="s">
        <v>172</v>
      </c>
      <c r="AO49" s="45" t="str">
        <f t="shared" si="14"/>
        <v>Turkey</v>
      </c>
      <c r="AP49" s="45" t="str">
        <f t="shared" si="15"/>
        <v>China</v>
      </c>
      <c r="AQ49" s="45"/>
      <c r="AS49" s="16" t="str">
        <f>KWALIFICATIE!L14</f>
        <v>#illuminaticonfirmed</v>
      </c>
      <c r="AT49" s="16">
        <f>COUNT(England_Played)</f>
        <v>2</v>
      </c>
      <c r="AU49" s="16">
        <f>COUNTIF(Groupstage_Winners,"England")</f>
        <v>1</v>
      </c>
      <c r="AV49" s="16">
        <f>COUNTIF(Groupstage_Losers,"England")</f>
        <v>0</v>
      </c>
      <c r="AW49" s="16">
        <f>AT49-(AU49+AV49)</f>
        <v>1</v>
      </c>
      <c r="AX49" s="16">
        <f>SUM(England_Played)</f>
        <v>4</v>
      </c>
      <c r="AY49" s="16">
        <f>SUM(England_Against)</f>
        <v>1</v>
      </c>
      <c r="AZ49" s="16">
        <f>AX49-AY49</f>
        <v>3</v>
      </c>
      <c r="BA49" s="16">
        <f t="shared" si="21"/>
        <v>4</v>
      </c>
      <c r="BB49" s="16" t="str">
        <f>IF($BA49&gt;=$BA50,$AS49,$AS50)</f>
        <v>#illuminaticonfirmed</v>
      </c>
      <c r="BC49" s="16">
        <f>VLOOKUP($BB49,$AS47:$BA50,9,FALSE)</f>
        <v>4</v>
      </c>
      <c r="BD49" s="16" t="str">
        <f>IF($BC49&lt;=$BC47,$BB49,$BB47)</f>
        <v>#illuminaticonfirmed</v>
      </c>
      <c r="BE49" s="16">
        <f>VLOOKUP($BD49,$AS47:$BA50,9,FALSE)</f>
        <v>4</v>
      </c>
      <c r="BF49" s="16" t="str">
        <f>IF($BE49&lt;=$BE48,$BD49,$BD48)</f>
        <v>Team Bublé</v>
      </c>
      <c r="BG49" s="16">
        <f>VLOOKUP($BF49,$AS47:$BA50,9,FALSE)</f>
        <v>2</v>
      </c>
      <c r="BH49" s="16">
        <f>VLOOKUP($BF49,$AS47:$BA50,8,FALSE)</f>
        <v>0</v>
      </c>
      <c r="BI49" s="16" t="str">
        <f>IF(AND($BG49=$BG50,$BH50&gt;$BH49),$BF50,$BF49)</f>
        <v>Team Bublé</v>
      </c>
      <c r="BJ49" s="16">
        <f>VLOOKUP($BI49,$AS47:$BA50,9,FALSE)</f>
        <v>2</v>
      </c>
      <c r="BK49" s="16">
        <f>VLOOKUP($BI49,$AS47:$BA50,8,FALSE)</f>
        <v>0</v>
      </c>
      <c r="BL49" s="16" t="str">
        <f>IF(AND($BJ47=$BJ49,$BK49&gt;$BK47),$BI47,$BI49)</f>
        <v>Team Bublé</v>
      </c>
      <c r="BM49" s="16">
        <f>VLOOKUP($BL49,$AS47:$BA50,9,FALSE)</f>
        <v>2</v>
      </c>
      <c r="BN49" s="16">
        <f>VLOOKUP($BL49,$AS47:$BA50,8,FALSE)</f>
        <v>0</v>
      </c>
      <c r="BO49" s="16" t="str">
        <f>IF(AND($BM48=$BM49,$BN49&gt;$BN48),$BL48,$BL49)</f>
        <v>Team Bublé</v>
      </c>
      <c r="BP49" s="16">
        <f>VLOOKUP($BO49,$AS47:$BA50,9,FALSE)</f>
        <v>2</v>
      </c>
      <c r="BQ49" s="16">
        <f>VLOOKUP($BO49,$AS47:$BA50,8,FALSE)</f>
        <v>0</v>
      </c>
      <c r="BR49" s="16">
        <f>VLOOKUP($BO49,$AS47:$BA50,6,FALSE)</f>
        <v>0</v>
      </c>
      <c r="BS49" s="16" t="str">
        <f>IF(AND($BP49=$BP50,$BQ49=$BQ50,$BR50&gt;$BR49),$BO50,$BO49)</f>
        <v>Team Bublé</v>
      </c>
      <c r="BT49" s="16">
        <f>VLOOKUP($BS49,$AS47:$BA50,9,FALSE)</f>
        <v>2</v>
      </c>
      <c r="BU49" s="16">
        <f>VLOOKUP($BS49,$AS47:$BA50,8,FALSE)</f>
        <v>0</v>
      </c>
      <c r="BV49" s="16">
        <f>VLOOKUP($BS49,$AS47:$BA50,6,FALSE)</f>
        <v>0</v>
      </c>
      <c r="BW49" s="16" t="str">
        <f>IF(AND($BT47=$BT49,$BU47=$BU49,$BV48&gt;$BV47),$BS47,$BS49)</f>
        <v>Team Bublé</v>
      </c>
      <c r="BX49" s="16">
        <f>VLOOKUP($BW49,$AS47:$BA50,9,FALSE)</f>
        <v>2</v>
      </c>
      <c r="BY49" s="16">
        <f>VLOOKUP($BW49,$AS47:$BA50,8,FALSE)</f>
        <v>0</v>
      </c>
      <c r="BZ49" s="16">
        <f>VLOOKUP($BW49,$AS47:$BA50,6,FALSE)</f>
        <v>0</v>
      </c>
      <c r="CA49" s="16" t="str">
        <f>IF(AND($BX48=$BX49,$BY48=$BY49,$BZ49&gt;$BZ48),$BW48,$BW49)</f>
        <v>Team Bublé</v>
      </c>
      <c r="CB49" s="16">
        <f>VLOOKUP($CA49,$AS47:$BA50,9,FALSE)</f>
        <v>2</v>
      </c>
      <c r="CC49" s="16">
        <f>VLOOKUP($CA49,$AS47:$BA50,8,FALSE)</f>
        <v>0</v>
      </c>
      <c r="CD49" s="16">
        <f>VLOOKUP($CA49,$AS47:$BA50,6,FALSE)</f>
        <v>0</v>
      </c>
      <c r="CH49" s="16" t="str">
        <f>CA49</f>
        <v>Team Bublé</v>
      </c>
      <c r="CI49" s="16">
        <f>VLOOKUP($CH49,$AS47:$BA50,2,FALSE)</f>
        <v>2</v>
      </c>
      <c r="CJ49" s="16">
        <f>VLOOKUP($CH49,$AS47:$BA50,3,FALSE)</f>
        <v>0</v>
      </c>
      <c r="CK49" s="16">
        <f>VLOOKUP($CH49,$AS47:$BA50,4,FALSE)</f>
        <v>0</v>
      </c>
      <c r="CL49" s="16">
        <f>VLOOKUP($CH49,$AS47:$BA50,5,FALSE)</f>
        <v>2</v>
      </c>
      <c r="CM49" s="16">
        <f>VLOOKUP($CH49,$AS47:$BA50,6,FALSE)</f>
        <v>0</v>
      </c>
      <c r="CN49" s="16">
        <f>VLOOKUP($CH49,$AS47:$BA50,7,FALSE)</f>
        <v>0</v>
      </c>
      <c r="CO49" s="16">
        <f>VLOOKUP($CH49,$AS47:$BA50,8,FALSE)</f>
        <v>0</v>
      </c>
      <c r="CP49" s="16">
        <f>VLOOKUP($CH49,$AS47:$BA50,9,FALSE)</f>
        <v>2</v>
      </c>
      <c r="CR49" s="21" t="e">
        <f>#REF!</f>
        <v>#REF!</v>
      </c>
    </row>
    <row r="50" spans="1:96" ht="18.75" thickBot="1" x14ac:dyDescent="0.3">
      <c r="A50" s="536" t="s">
        <v>7</v>
      </c>
      <c r="B50" s="534"/>
      <c r="C50" s="534"/>
      <c r="D50" s="534"/>
      <c r="E50" s="534"/>
      <c r="F50" s="534"/>
      <c r="G50" s="534"/>
      <c r="H50" s="534"/>
      <c r="I50" s="534"/>
      <c r="J50" s="534"/>
      <c r="K50" s="534"/>
      <c r="L50" s="534"/>
      <c r="M50" s="534"/>
      <c r="N50" s="534"/>
      <c r="O50" s="534"/>
      <c r="P50" s="535"/>
      <c r="R50" s="523" t="s">
        <v>8</v>
      </c>
      <c r="S50" s="524"/>
      <c r="T50" s="524"/>
      <c r="U50" s="524"/>
      <c r="V50" s="524"/>
      <c r="W50" s="524"/>
      <c r="X50" s="524"/>
      <c r="Y50" s="524"/>
      <c r="Z50" s="524"/>
      <c r="AA50" s="524"/>
      <c r="AB50" s="524"/>
      <c r="AC50" s="524"/>
      <c r="AD50" s="524"/>
      <c r="AE50" s="524"/>
      <c r="AF50" s="524"/>
      <c r="AG50" s="525"/>
      <c r="AH50" s="70" t="s">
        <v>180</v>
      </c>
      <c r="AI50" s="70" t="s">
        <v>179</v>
      </c>
      <c r="AJ50" s="70">
        <f>I31</f>
        <v>3</v>
      </c>
      <c r="AK50" s="232">
        <f>K31</f>
        <v>0</v>
      </c>
      <c r="AL50" s="73" t="s">
        <v>169</v>
      </c>
      <c r="AM50" s="51" t="s">
        <v>168</v>
      </c>
      <c r="AN50" s="44" t="s">
        <v>172</v>
      </c>
      <c r="AO50" s="45" t="str">
        <f t="shared" si="14"/>
        <v>Costa Rica</v>
      </c>
      <c r="AP50" s="45" t="str">
        <f t="shared" si="15"/>
        <v>Brazil</v>
      </c>
      <c r="AQ50" s="45"/>
      <c r="AS50" s="16" t="str">
        <f>KWALIFICATIE!L16</f>
        <v>Team Bublé</v>
      </c>
      <c r="AT50" s="16">
        <f>COUNT(Sweden_Played)</f>
        <v>2</v>
      </c>
      <c r="AU50" s="16">
        <f>COUNTIF(Groupstage_Winners,"Sweden")</f>
        <v>0</v>
      </c>
      <c r="AV50" s="16">
        <f>COUNTIF(Groupstage_Losers,"Sweden")</f>
        <v>0</v>
      </c>
      <c r="AW50" s="16">
        <f>AT50-(AU50+AV50)</f>
        <v>2</v>
      </c>
      <c r="AX50" s="16">
        <f>SUM(Sweden_Played)</f>
        <v>0</v>
      </c>
      <c r="AY50" s="16">
        <f>SUM(Sweden_Against)</f>
        <v>0</v>
      </c>
      <c r="AZ50" s="16">
        <f>AX50-AY50</f>
        <v>0</v>
      </c>
      <c r="BA50" s="16">
        <f t="shared" si="21"/>
        <v>2</v>
      </c>
      <c r="BB50" s="16" t="str">
        <f>IF($BA50&lt;=$BA49,$AS50,$AS49)</f>
        <v>Team Bublé</v>
      </c>
      <c r="BC50" s="16">
        <f>VLOOKUP($BB50,$AS47:$BA50,9,FALSE)</f>
        <v>2</v>
      </c>
      <c r="BD50" s="16" t="str">
        <f>IF(BC50&lt;=BC48,BB50,BB48)</f>
        <v>Sammi's Sweathearts</v>
      </c>
      <c r="BE50" s="16">
        <f>VLOOKUP($BD50,$AS47:$BA50,9,FALSE)</f>
        <v>0</v>
      </c>
      <c r="BF50" s="16" t="str">
        <f>IF($BE50&lt;=$BE47,$BD50,$BD47)</f>
        <v>Sammi's Sweathearts</v>
      </c>
      <c r="BG50" s="16">
        <f>VLOOKUP($BF50,$AS47:$BA50,9,FALSE)</f>
        <v>0</v>
      </c>
      <c r="BH50" s="16">
        <f>VLOOKUP($BF50,$AS47:$BA50,8,FALSE)</f>
        <v>-5</v>
      </c>
      <c r="BI50" s="16" t="str">
        <f>IF(AND($BG49=$BG50,$BH50&gt;$BH49),$BF49,$BF50)</f>
        <v>Sammi's Sweathearts</v>
      </c>
      <c r="BJ50" s="16">
        <f>VLOOKUP($BI50,$AS47:$BA50,9,FALSE)</f>
        <v>0</v>
      </c>
      <c r="BK50" s="16">
        <f>VLOOKUP($BI50,$AS47:$BA50,8,FALSE)</f>
        <v>-5</v>
      </c>
      <c r="BL50" s="16" t="str">
        <f>IF(AND($BJ48=$BJ50,$BK50&gt;$BK48),$BI48,$BI50)</f>
        <v>Sammi's Sweathearts</v>
      </c>
      <c r="BM50" s="16">
        <f>VLOOKUP($BL50,$AS47:$BA50,9,FALSE)</f>
        <v>0</v>
      </c>
      <c r="BN50" s="16">
        <f>VLOOKUP($BL50,$AS47:$BA50,8,FALSE)</f>
        <v>-5</v>
      </c>
      <c r="BO50" s="16" t="str">
        <f>IF(AND($BM47=$BM50,$BN50&gt;$BN47),$BL47,$BL50)</f>
        <v>Sammi's Sweathearts</v>
      </c>
      <c r="BP50" s="16">
        <f>VLOOKUP($BO50,$AS47:$BA50,9,FALSE)</f>
        <v>0</v>
      </c>
      <c r="BQ50" s="16">
        <f>VLOOKUP($BO50,$AS47:$BA50,8,FALSE)</f>
        <v>-5</v>
      </c>
      <c r="BR50" s="16">
        <f>VLOOKUP($BO50,$AS47:$BA50,6,FALSE)</f>
        <v>1</v>
      </c>
      <c r="BS50" s="16" t="str">
        <f>IF(AND($BP49=$BP50,$BQ49=$BQ50,$BR50&gt;$BR49),$BO49,$BO50)</f>
        <v>Sammi's Sweathearts</v>
      </c>
      <c r="BT50" s="16">
        <f>VLOOKUP($BS50,$AS47:$BA50,9,FALSE)</f>
        <v>0</v>
      </c>
      <c r="BU50" s="16">
        <f>VLOOKUP($BS50,$AS47:$BA50,8,FALSE)</f>
        <v>-5</v>
      </c>
      <c r="BV50" s="16">
        <f>VLOOKUP($BS50,$AS47:$BA50,6,FALSE)</f>
        <v>1</v>
      </c>
      <c r="BW50" s="16" t="str">
        <f>IF(AND($BT48=$BT50,$BU48=$BU50,$BV50&gt;$BV48),$BS48,$BS50)</f>
        <v>Sammi's Sweathearts</v>
      </c>
      <c r="BX50" s="16">
        <f>VLOOKUP($BW50,$AS47:$BA50,9,FALSE)</f>
        <v>0</v>
      </c>
      <c r="BY50" s="16">
        <f>VLOOKUP($BW50,$AS47:$BA50,8,FALSE)</f>
        <v>-5</v>
      </c>
      <c r="BZ50" s="16">
        <f>VLOOKUP($BW50,$AS47:$BA50,6,FALSE)</f>
        <v>1</v>
      </c>
      <c r="CA50" s="16" t="str">
        <f>IF(AND($BX47=$BX50,$BY47=$BY50,$BZ50&gt;$BZ47),$BW47,$BW50)</f>
        <v>Sammi's Sweathearts</v>
      </c>
      <c r="CB50" s="16">
        <f>VLOOKUP($CA50,$AS47:$BA50,9,FALSE)</f>
        <v>0</v>
      </c>
      <c r="CC50" s="16">
        <f>VLOOKUP($CA50,$AS47:$BA50,8,FALSE)</f>
        <v>-5</v>
      </c>
      <c r="CD50" s="16">
        <f>VLOOKUP($CA50,$AS47:$BA50,6,FALSE)</f>
        <v>1</v>
      </c>
      <c r="CH50" s="16" t="str">
        <f>CA50</f>
        <v>Sammi's Sweathearts</v>
      </c>
      <c r="CI50" s="16">
        <f>VLOOKUP($CH50,$AS47:$BA50,2,FALSE)</f>
        <v>2</v>
      </c>
      <c r="CJ50" s="16">
        <f>VLOOKUP($CH50,$AS47:$BA50,3,FALSE)</f>
        <v>0</v>
      </c>
      <c r="CK50" s="16">
        <f>VLOOKUP($CH50,$AS47:$BA50,4,FALSE)</f>
        <v>2</v>
      </c>
      <c r="CL50" s="16">
        <f>VLOOKUP($CH50,$AS47:$BA50,5,FALSE)</f>
        <v>0</v>
      </c>
      <c r="CM50" s="16">
        <f>VLOOKUP($CH50,$AS47:$BA50,6,FALSE)</f>
        <v>1</v>
      </c>
      <c r="CN50" s="16">
        <f>VLOOKUP($CH50,$AS47:$BA50,7,FALSE)</f>
        <v>6</v>
      </c>
      <c r="CO50" s="16">
        <f>VLOOKUP($CH50,$AS47:$BA50,8,FALSE)</f>
        <v>-5</v>
      </c>
      <c r="CP50" s="16">
        <f>VLOOKUP($CH50,$AS47:$BA50,9,FALSE)</f>
        <v>0</v>
      </c>
      <c r="CR50" s="21" t="e">
        <f>#REF!</f>
        <v>#REF!</v>
      </c>
    </row>
    <row r="51" spans="1:96" ht="12.95" customHeight="1" thickBot="1" x14ac:dyDescent="0.25">
      <c r="A51" s="28"/>
      <c r="B51" s="26"/>
      <c r="C51" s="26"/>
      <c r="D51" s="26"/>
      <c r="E51" s="26"/>
      <c r="F51" s="26"/>
      <c r="G51" s="340" t="s">
        <v>109</v>
      </c>
      <c r="H51" s="340" t="s">
        <v>110</v>
      </c>
      <c r="I51" s="340" t="s">
        <v>111</v>
      </c>
      <c r="J51" s="531" t="s">
        <v>112</v>
      </c>
      <c r="K51" s="531"/>
      <c r="L51" s="531" t="s">
        <v>113</v>
      </c>
      <c r="M51" s="531"/>
      <c r="N51" s="531"/>
      <c r="O51" s="338" t="str">
        <f>T("+/-")</f>
        <v>+/-</v>
      </c>
      <c r="P51" s="245" t="s">
        <v>114</v>
      </c>
      <c r="R51" s="28"/>
      <c r="X51" s="338" t="s">
        <v>109</v>
      </c>
      <c r="Y51" s="338" t="s">
        <v>110</v>
      </c>
      <c r="Z51" s="338" t="s">
        <v>111</v>
      </c>
      <c r="AA51" s="522" t="s">
        <v>112</v>
      </c>
      <c r="AB51" s="522"/>
      <c r="AC51" s="522" t="s">
        <v>113</v>
      </c>
      <c r="AD51" s="522"/>
      <c r="AE51" s="522"/>
      <c r="AF51" s="338" t="str">
        <f>T("+/-")</f>
        <v>+/-</v>
      </c>
      <c r="AG51" s="245" t="s">
        <v>114</v>
      </c>
      <c r="AH51" s="69" t="s">
        <v>176</v>
      </c>
      <c r="AI51" s="70" t="s">
        <v>175</v>
      </c>
      <c r="AJ51" s="70">
        <f>I62</f>
        <v>2</v>
      </c>
      <c r="AK51" s="232">
        <f>K62</f>
        <v>0</v>
      </c>
      <c r="AL51" s="73" t="s">
        <v>165</v>
      </c>
      <c r="AM51" s="50" t="s">
        <v>164</v>
      </c>
      <c r="AN51" s="44" t="s">
        <v>111</v>
      </c>
      <c r="AO51" s="45" t="str">
        <f t="shared" si="14"/>
        <v>Ecuador</v>
      </c>
      <c r="AP51" s="45" t="str">
        <f t="shared" si="15"/>
        <v>Croatia</v>
      </c>
      <c r="AQ51" s="45"/>
      <c r="CR51" s="21" t="e">
        <f>#REF!</f>
        <v>#REF!</v>
      </c>
    </row>
    <row r="52" spans="1:96" ht="12.95" customHeight="1" thickBot="1" x14ac:dyDescent="0.25">
      <c r="A52" s="516" t="s">
        <v>115</v>
      </c>
      <c r="B52" s="517"/>
      <c r="C52" s="333" t="e">
        <f>CH54</f>
        <v>#REF!</v>
      </c>
      <c r="D52" s="333"/>
      <c r="E52" s="333"/>
      <c r="F52" s="333"/>
      <c r="G52" s="334" t="e">
        <f t="shared" ref="G52:H55" si="22">CI54</f>
        <v>#REF!</v>
      </c>
      <c r="H52" s="334" t="e">
        <f t="shared" si="22"/>
        <v>#REF!</v>
      </c>
      <c r="I52" s="334" t="e">
        <f>CL54</f>
        <v>#REF!</v>
      </c>
      <c r="J52" s="513" t="e">
        <f>CK54</f>
        <v>#REF!</v>
      </c>
      <c r="K52" s="513"/>
      <c r="L52" s="167" t="e">
        <f>CM54</f>
        <v>#REF!</v>
      </c>
      <c r="M52" s="334" t="s">
        <v>16</v>
      </c>
      <c r="N52" s="282" t="e">
        <f t="shared" ref="N52:O55" si="23">CN54</f>
        <v>#REF!</v>
      </c>
      <c r="O52" s="334" t="e">
        <f t="shared" si="23"/>
        <v>#REF!</v>
      </c>
      <c r="P52" s="306" t="e">
        <f>SUM(H52*3+I52*1)</f>
        <v>#REF!</v>
      </c>
      <c r="Q52" s="167"/>
      <c r="R52" s="516" t="s">
        <v>115</v>
      </c>
      <c r="S52" s="517"/>
      <c r="T52" s="333" t="str">
        <f>CH61</f>
        <v>FC Isjeneefer</v>
      </c>
      <c r="U52" s="333"/>
      <c r="V52" s="333"/>
      <c r="W52" s="333"/>
      <c r="X52" s="335">
        <f t="shared" ref="X52:Y55" si="24">CI61</f>
        <v>3</v>
      </c>
      <c r="Y52" s="335">
        <f t="shared" si="24"/>
        <v>2</v>
      </c>
      <c r="Z52" s="334">
        <f>CL61</f>
        <v>0</v>
      </c>
      <c r="AA52" s="514">
        <f>CK61</f>
        <v>1</v>
      </c>
      <c r="AB52" s="514"/>
      <c r="AC52" s="218">
        <f>CM61</f>
        <v>11</v>
      </c>
      <c r="AD52" s="334" t="s">
        <v>16</v>
      </c>
      <c r="AE52" s="326">
        <f t="shared" ref="AE52:AF55" si="25">CN61</f>
        <v>3</v>
      </c>
      <c r="AF52" s="335">
        <f t="shared" si="25"/>
        <v>8</v>
      </c>
      <c r="AG52" s="306">
        <f>SUM(Y52*3+Z52*1)</f>
        <v>6</v>
      </c>
      <c r="AH52" s="70" t="s">
        <v>167</v>
      </c>
      <c r="AI52" s="70" t="s">
        <v>166</v>
      </c>
      <c r="AJ52" s="70">
        <f>I63</f>
        <v>0</v>
      </c>
      <c r="AK52" s="232">
        <f>K63</f>
        <v>2</v>
      </c>
      <c r="AL52" s="73" t="s">
        <v>174</v>
      </c>
      <c r="AM52" s="51" t="s">
        <v>173</v>
      </c>
      <c r="AN52" s="44" t="s">
        <v>111</v>
      </c>
      <c r="AO52" s="45" t="str">
        <f t="shared" si="14"/>
        <v>Italy</v>
      </c>
      <c r="AP52" s="45" t="str">
        <f t="shared" si="15"/>
        <v>Mexico</v>
      </c>
      <c r="AQ52" s="45"/>
      <c r="AS52" s="16" t="s">
        <v>208</v>
      </c>
      <c r="CR52" s="21" t="e">
        <f>#REF!</f>
        <v>#REF!</v>
      </c>
    </row>
    <row r="53" spans="1:96" ht="12.95" customHeight="1" thickBot="1" x14ac:dyDescent="0.25">
      <c r="A53" s="516" t="s">
        <v>116</v>
      </c>
      <c r="B53" s="517"/>
      <c r="C53" s="333" t="e">
        <f>CH55</f>
        <v>#REF!</v>
      </c>
      <c r="D53" s="333"/>
      <c r="E53" s="333"/>
      <c r="F53" s="333"/>
      <c r="G53" s="334" t="e">
        <f t="shared" si="22"/>
        <v>#REF!</v>
      </c>
      <c r="H53" s="334" t="e">
        <f t="shared" si="22"/>
        <v>#REF!</v>
      </c>
      <c r="I53" s="334" t="e">
        <f>CL55</f>
        <v>#REF!</v>
      </c>
      <c r="J53" s="513" t="e">
        <f>CK55</f>
        <v>#REF!</v>
      </c>
      <c r="K53" s="513"/>
      <c r="L53" s="167" t="e">
        <f>CM55</f>
        <v>#REF!</v>
      </c>
      <c r="M53" s="334" t="s">
        <v>16</v>
      </c>
      <c r="N53" s="282" t="e">
        <f t="shared" si="23"/>
        <v>#REF!</v>
      </c>
      <c r="O53" s="334" t="e">
        <f t="shared" si="23"/>
        <v>#REF!</v>
      </c>
      <c r="P53" s="306" t="e">
        <f>SUM(H53*3+I53*1)</f>
        <v>#REF!</v>
      </c>
      <c r="Q53" s="167"/>
      <c r="R53" s="516" t="s">
        <v>116</v>
      </c>
      <c r="S53" s="517"/>
      <c r="T53" s="333">
        <f>CH62</f>
        <v>0</v>
      </c>
      <c r="U53" s="333"/>
      <c r="V53" s="333"/>
      <c r="W53" s="333"/>
      <c r="X53" s="335">
        <f t="shared" si="24"/>
        <v>3</v>
      </c>
      <c r="Y53" s="335">
        <f t="shared" si="24"/>
        <v>2</v>
      </c>
      <c r="Z53" s="334">
        <f>CL62</f>
        <v>0</v>
      </c>
      <c r="AA53" s="514">
        <f>CK62</f>
        <v>1</v>
      </c>
      <c r="AB53" s="514"/>
      <c r="AC53" s="218">
        <f>CM62</f>
        <v>9</v>
      </c>
      <c r="AD53" s="334" t="s">
        <v>16</v>
      </c>
      <c r="AE53" s="326">
        <f t="shared" si="25"/>
        <v>3</v>
      </c>
      <c r="AF53" s="335">
        <f t="shared" si="25"/>
        <v>6</v>
      </c>
      <c r="AG53" s="306">
        <f>SUM(Y53*3+Z53*1)</f>
        <v>6</v>
      </c>
      <c r="AH53" s="70" t="s">
        <v>184</v>
      </c>
      <c r="AI53" s="70" t="s">
        <v>183</v>
      </c>
      <c r="AJ53" s="70">
        <f>Z62</f>
        <v>0</v>
      </c>
      <c r="AK53" s="232">
        <f>AB62</f>
        <v>2</v>
      </c>
      <c r="AL53" s="73" t="s">
        <v>194</v>
      </c>
      <c r="AM53" s="51" t="s">
        <v>193</v>
      </c>
      <c r="AN53" s="44" t="s">
        <v>185</v>
      </c>
      <c r="AO53" s="45" t="str">
        <f>IF(AJ53&lt;&gt;"",IF(AJ53&gt;AK53,AI53,IF(AK53&gt;AJ53,AL53,"Draw")),"")</f>
        <v>Russia</v>
      </c>
      <c r="AP53" s="45" t="str">
        <f>IF(AJ53&lt;&gt;"",IF(AJ53&lt;AK53,AI53,IF(AK53&lt;AJ53,AL53,"Draw")),"")</f>
        <v>Belgium</v>
      </c>
      <c r="AQ53" s="45"/>
      <c r="AT53" s="16" t="s">
        <v>124</v>
      </c>
      <c r="AU53" s="16" t="s">
        <v>110</v>
      </c>
      <c r="AV53" s="16" t="s">
        <v>125</v>
      </c>
      <c r="AW53" s="16" t="s">
        <v>126</v>
      </c>
      <c r="AX53" s="16" t="s">
        <v>127</v>
      </c>
      <c r="AY53" s="16" t="s">
        <v>123</v>
      </c>
      <c r="AZ53" s="16" t="s">
        <v>128</v>
      </c>
      <c r="BA53" s="16" t="s">
        <v>129</v>
      </c>
      <c r="CR53" s="21" t="e">
        <f>#REF!</f>
        <v>#REF!</v>
      </c>
    </row>
    <row r="54" spans="1:96" ht="12.95" customHeight="1" thickBot="1" x14ac:dyDescent="0.25">
      <c r="A54" s="516" t="s">
        <v>118</v>
      </c>
      <c r="B54" s="517"/>
      <c r="C54" s="333" t="e">
        <f>CH56</f>
        <v>#REF!</v>
      </c>
      <c r="D54" s="333"/>
      <c r="E54" s="333"/>
      <c r="F54" s="333"/>
      <c r="G54" s="334" t="e">
        <f t="shared" si="22"/>
        <v>#REF!</v>
      </c>
      <c r="H54" s="334" t="e">
        <f t="shared" si="22"/>
        <v>#REF!</v>
      </c>
      <c r="I54" s="334" t="e">
        <f>CL56</f>
        <v>#REF!</v>
      </c>
      <c r="J54" s="513" t="e">
        <f>CK56</f>
        <v>#REF!</v>
      </c>
      <c r="K54" s="513"/>
      <c r="L54" s="167" t="e">
        <f>CM56</f>
        <v>#REF!</v>
      </c>
      <c r="M54" s="334" t="s">
        <v>16</v>
      </c>
      <c r="N54" s="282" t="e">
        <f t="shared" si="23"/>
        <v>#REF!</v>
      </c>
      <c r="O54" s="334" t="e">
        <f t="shared" si="23"/>
        <v>#REF!</v>
      </c>
      <c r="P54" s="306" t="e">
        <f>SUM(H54*3+I54*1)</f>
        <v>#REF!</v>
      </c>
      <c r="Q54" s="167"/>
      <c r="R54" s="516" t="s">
        <v>118</v>
      </c>
      <c r="S54" s="517"/>
      <c r="T54" s="333" t="str">
        <f>CH63</f>
        <v>Kampongveldert</v>
      </c>
      <c r="U54" s="333"/>
      <c r="V54" s="333"/>
      <c r="W54" s="333"/>
      <c r="X54" s="335">
        <f t="shared" si="24"/>
        <v>3</v>
      </c>
      <c r="Y54" s="335">
        <f t="shared" si="24"/>
        <v>1</v>
      </c>
      <c r="Z54" s="334">
        <f>CL63</f>
        <v>0</v>
      </c>
      <c r="AA54" s="514">
        <f>CK63</f>
        <v>2</v>
      </c>
      <c r="AB54" s="514"/>
      <c r="AC54" s="218">
        <f>CM63</f>
        <v>2</v>
      </c>
      <c r="AD54" s="334" t="s">
        <v>16</v>
      </c>
      <c r="AE54" s="326">
        <f t="shared" si="25"/>
        <v>6</v>
      </c>
      <c r="AF54" s="335">
        <f t="shared" si="25"/>
        <v>-4</v>
      </c>
      <c r="AG54" s="306">
        <f>SUM(Y54*3+Z54*1)</f>
        <v>3</v>
      </c>
      <c r="AH54" s="70" t="s">
        <v>196</v>
      </c>
      <c r="AI54" s="70" t="s">
        <v>195</v>
      </c>
      <c r="AJ54" s="70">
        <f>Z63</f>
        <v>1</v>
      </c>
      <c r="AK54" s="232">
        <f>AB63</f>
        <v>3</v>
      </c>
      <c r="AL54" s="73" t="s">
        <v>182</v>
      </c>
      <c r="AM54" s="51" t="s">
        <v>181</v>
      </c>
      <c r="AN54" s="44" t="s">
        <v>185</v>
      </c>
      <c r="AO54" s="45" t="str">
        <f>IF(AJ54&lt;&gt;"",IF(AJ54&gt;AK54,AI54,IF(AK54&gt;AJ54,AL54,"Draw")),"")</f>
        <v>Japan</v>
      </c>
      <c r="AP54" s="45" t="str">
        <f>IF(AJ54&lt;&gt;"",IF(AJ54&lt;AK54,AI54,IF(AK54&lt;AJ54,AL54,"Draw")),"")</f>
        <v>Tunisia</v>
      </c>
      <c r="AQ54" s="45"/>
      <c r="AS54" s="16" t="str">
        <f>KWALIFICATIE!S12</f>
        <v>Correctie veld 4</v>
      </c>
      <c r="AT54" s="16">
        <f>COUNT(Italy_Played)</f>
        <v>2</v>
      </c>
      <c r="AU54" s="16">
        <f>COUNTIF(Groupstage_Winners,"Italy")</f>
        <v>1</v>
      </c>
      <c r="AV54" s="16">
        <f>COUNTIF(Groupstage_Losers,"Italy")</f>
        <v>1</v>
      </c>
      <c r="AW54" s="16">
        <f>AT54-(AU54+AV54)</f>
        <v>0</v>
      </c>
      <c r="AX54" s="16" t="e">
        <f>SUM(Italy_Played)</f>
        <v>#REF!</v>
      </c>
      <c r="AY54" s="16" t="e">
        <f>SUM(Italy_Against)</f>
        <v>#REF!</v>
      </c>
      <c r="AZ54" s="16" t="e">
        <f>AX54-AY54</f>
        <v>#REF!</v>
      </c>
      <c r="BA54" s="16">
        <f>SUM((AU54*3)+(AW54*1))</f>
        <v>3</v>
      </c>
      <c r="BB54" s="16" t="str">
        <f>IF($BA54&gt;=$BA55,$AS54,$AS55)</f>
        <v>Combiwel</v>
      </c>
      <c r="BC54" s="16">
        <f>VLOOKUP($BB54,$AS54:$BA57,9,FALSE)</f>
        <v>6</v>
      </c>
      <c r="BD54" s="16" t="str">
        <f>IF($BC54&gt;=$BC56,$BB54,$BB56)</f>
        <v>Combiwel</v>
      </c>
      <c r="BE54" s="16">
        <f>VLOOKUP($BD54,$AS54:$BA57,9,FALSE)</f>
        <v>6</v>
      </c>
      <c r="BF54" s="16" t="str">
        <f>IF($BE54&gt;=$BE57,$BD54,$BD57)</f>
        <v>Combiwel</v>
      </c>
      <c r="BG54" s="16">
        <f>VLOOKUP($BF54,$AS54:$BA57,9,FALSE)</f>
        <v>6</v>
      </c>
      <c r="BH54" s="16" t="e">
        <f>VLOOKUP($BF54,$AS54:$BA57,8,FALSE)</f>
        <v>#REF!</v>
      </c>
      <c r="BI54" s="16" t="e">
        <f>IF(AND($BG54=$BG55,$BH55&gt;$BH54),$BF55,$BF54)</f>
        <v>#REF!</v>
      </c>
      <c r="BJ54" s="16" t="e">
        <f>VLOOKUP($BI54,$AS54:$BA57,9,FALSE)</f>
        <v>#REF!</v>
      </c>
      <c r="BK54" s="16" t="e">
        <f>VLOOKUP($BI54,$AS54:$BA57,8,FALSE)</f>
        <v>#REF!</v>
      </c>
      <c r="BL54" s="16" t="e">
        <f>IF(AND($BJ54=$BJ56,$BK56&gt;$BK54),$BI56,$BI54)</f>
        <v>#REF!</v>
      </c>
      <c r="BM54" s="16" t="e">
        <f>VLOOKUP($BL54,$AS54:$BA57,9,FALSE)</f>
        <v>#REF!</v>
      </c>
      <c r="BN54" s="16" t="e">
        <f>VLOOKUP($BL54,$AS54:$BA57,8,FALSE)</f>
        <v>#REF!</v>
      </c>
      <c r="BO54" s="16" t="e">
        <f>IF(AND($BM54=$BM57,$BN57&gt;$BN54),$BL57,$BL54)</f>
        <v>#REF!</v>
      </c>
      <c r="BP54" s="16" t="e">
        <f>VLOOKUP($BO54,$AS54:$BA57,9,FALSE)</f>
        <v>#REF!</v>
      </c>
      <c r="BQ54" s="16" t="e">
        <f>VLOOKUP($BO54,$AS54:$BA57,8,FALSE)</f>
        <v>#REF!</v>
      </c>
      <c r="BR54" s="16" t="e">
        <f>VLOOKUP($BO54,$AS54:$BA57,6,FALSE)</f>
        <v>#REF!</v>
      </c>
      <c r="BS54" s="16" t="e">
        <f>IF(AND($BP54=$BP55,$BQ54=$BQ55,$BR55&gt;$BR54),$BO55,$BO54)</f>
        <v>#REF!</v>
      </c>
      <c r="BT54" s="16" t="e">
        <f>VLOOKUP($BS54,$AS54:$BA57,9,FALSE)</f>
        <v>#REF!</v>
      </c>
      <c r="BU54" s="16" t="e">
        <f>VLOOKUP($BS54,$AS54:$BA57,8,FALSE)</f>
        <v>#REF!</v>
      </c>
      <c r="BV54" s="16" t="e">
        <f>VLOOKUP($BS54,$AS54:$BA57,6,FALSE)</f>
        <v>#REF!</v>
      </c>
      <c r="BW54" s="16" t="e">
        <f>IF(AND($BT54=$BT56,$BU54=$BU56,$BV56&gt;$BV54),$BS56,$BS54)</f>
        <v>#REF!</v>
      </c>
      <c r="BX54" s="16" t="e">
        <f>VLOOKUP($BW54,$AS54:$BA57,9,FALSE)</f>
        <v>#REF!</v>
      </c>
      <c r="BY54" s="16" t="e">
        <f>VLOOKUP($BW54,$AS54:$BA57,8,FALSE)</f>
        <v>#REF!</v>
      </c>
      <c r="BZ54" s="16" t="e">
        <f>VLOOKUP($BW54,$AS54:$BA57,6,FALSE)</f>
        <v>#REF!</v>
      </c>
      <c r="CA54" s="16" t="e">
        <f>IF(AND($BX54=$BX57,$BY54=$BY57,$BZ57&gt;$BZ54),$BW57,$BW54)</f>
        <v>#REF!</v>
      </c>
      <c r="CB54" s="16" t="e">
        <f>VLOOKUP($CA54,$AS54:$BA57,9,FALSE)</f>
        <v>#REF!</v>
      </c>
      <c r="CC54" s="16" t="e">
        <f>VLOOKUP($CA54,$AS54:$BA57,8,FALSE)</f>
        <v>#REF!</v>
      </c>
      <c r="CD54" s="16" t="e">
        <f>VLOOKUP($CA54,$AS54:$BA57,6,FALSE)</f>
        <v>#REF!</v>
      </c>
      <c r="CH54" s="16" t="e">
        <f>CA54</f>
        <v>#REF!</v>
      </c>
      <c r="CI54" s="16" t="e">
        <f>VLOOKUP($CH54,$AS54:$BA57,2,FALSE)</f>
        <v>#REF!</v>
      </c>
      <c r="CJ54" s="16" t="e">
        <f>VLOOKUP($CH54,$AS54:$BA57,3,FALSE)</f>
        <v>#REF!</v>
      </c>
      <c r="CK54" s="16" t="e">
        <f>VLOOKUP($CH54,$AS54:$BA57,4,FALSE)</f>
        <v>#REF!</v>
      </c>
      <c r="CL54" s="16" t="e">
        <f>VLOOKUP($CH54,$AS54:$BA57,5,FALSE)</f>
        <v>#REF!</v>
      </c>
      <c r="CM54" s="16" t="e">
        <f>VLOOKUP($CH54,$AS54:$BA57,6,FALSE)</f>
        <v>#REF!</v>
      </c>
      <c r="CN54" s="16" t="e">
        <f>VLOOKUP($CH54,$AS54:$BA57,7,FALSE)</f>
        <v>#REF!</v>
      </c>
      <c r="CO54" s="16" t="e">
        <f>VLOOKUP($CH54,$AS54:$BA57,8,FALSE)</f>
        <v>#REF!</v>
      </c>
      <c r="CP54" s="16" t="e">
        <f>VLOOKUP($CH54,$AS54:$BA57,9,FALSE)</f>
        <v>#REF!</v>
      </c>
      <c r="CR54" s="21" t="e">
        <f>#REF!</f>
        <v>#REF!</v>
      </c>
    </row>
    <row r="55" spans="1:96" ht="12.95" customHeight="1" thickBot="1" x14ac:dyDescent="0.25">
      <c r="A55" s="516" t="s">
        <v>132</v>
      </c>
      <c r="B55" s="517"/>
      <c r="C55" s="333" t="e">
        <f>CH57</f>
        <v>#REF!</v>
      </c>
      <c r="D55" s="333"/>
      <c r="E55" s="333"/>
      <c r="F55" s="333"/>
      <c r="G55" s="334" t="e">
        <f t="shared" si="22"/>
        <v>#REF!</v>
      </c>
      <c r="H55" s="334" t="e">
        <f t="shared" si="22"/>
        <v>#REF!</v>
      </c>
      <c r="I55" s="334" t="e">
        <f>CL57</f>
        <v>#REF!</v>
      </c>
      <c r="J55" s="513" t="e">
        <f>CK57</f>
        <v>#REF!</v>
      </c>
      <c r="K55" s="513"/>
      <c r="L55" s="167" t="e">
        <f>CM57</f>
        <v>#REF!</v>
      </c>
      <c r="M55" s="334" t="s">
        <v>16</v>
      </c>
      <c r="N55" s="282" t="e">
        <f t="shared" si="23"/>
        <v>#REF!</v>
      </c>
      <c r="O55" s="334" t="e">
        <f t="shared" si="23"/>
        <v>#REF!</v>
      </c>
      <c r="P55" s="306" t="e">
        <f>SUM(H55*3+I55*1)</f>
        <v>#REF!</v>
      </c>
      <c r="Q55" s="167"/>
      <c r="R55" s="516" t="s">
        <v>132</v>
      </c>
      <c r="S55" s="517"/>
      <c r="T55" s="333" t="str">
        <f>CH64</f>
        <v>Orion</v>
      </c>
      <c r="U55" s="333"/>
      <c r="V55" s="333"/>
      <c r="W55" s="333"/>
      <c r="X55" s="335">
        <f t="shared" si="24"/>
        <v>3</v>
      </c>
      <c r="Y55" s="335">
        <f t="shared" si="24"/>
        <v>1</v>
      </c>
      <c r="Z55" s="334">
        <f>CL64</f>
        <v>0</v>
      </c>
      <c r="AA55" s="514">
        <f>CK64</f>
        <v>2</v>
      </c>
      <c r="AB55" s="514"/>
      <c r="AC55" s="218">
        <f>CM64</f>
        <v>2</v>
      </c>
      <c r="AD55" s="334" t="s">
        <v>16</v>
      </c>
      <c r="AE55" s="326">
        <f t="shared" si="25"/>
        <v>12</v>
      </c>
      <c r="AF55" s="335">
        <f t="shared" si="25"/>
        <v>-10</v>
      </c>
      <c r="AG55" s="306">
        <f>SUM(Y55*3+Z55*1)</f>
        <v>3</v>
      </c>
      <c r="AH55" s="70" t="s">
        <v>190</v>
      </c>
      <c r="AI55" s="70" t="s">
        <v>189</v>
      </c>
      <c r="AJ55" s="70">
        <f>Z30</f>
        <v>2</v>
      </c>
      <c r="AK55" s="232">
        <f>AB30</f>
        <v>0</v>
      </c>
      <c r="AL55" s="73" t="s">
        <v>199</v>
      </c>
      <c r="AM55" s="51" t="s">
        <v>198</v>
      </c>
      <c r="AN55" s="44" t="s">
        <v>126</v>
      </c>
      <c r="AO55" s="45" t="str">
        <f>IF(AJ55&lt;&gt;"",IF(AJ55&gt;AK55,AI55,IF(AK55&gt;AJ55,AL55,"Draw")),"")</f>
        <v>Poland</v>
      </c>
      <c r="AP55" s="45" t="str">
        <f>IF(AJ55&lt;&gt;"",IF(AJ55&lt;AK55,AI55,IF(AK55&lt;AJ55,AL55,"Draw")),"")</f>
        <v>USA</v>
      </c>
      <c r="AQ55" s="45"/>
      <c r="AS55" s="16" t="str">
        <f>KWALIFICATIE!S13</f>
        <v>Combiwel</v>
      </c>
      <c r="AT55" s="16">
        <f>COUNT(Ecuador_Played)</f>
        <v>2</v>
      </c>
      <c r="AU55" s="16">
        <f>COUNTIF(Groupstage_Winners,"Ecuador")</f>
        <v>2</v>
      </c>
      <c r="AV55" s="16">
        <f>COUNTIF(Groupstage_Losers,"Ecuador")</f>
        <v>0</v>
      </c>
      <c r="AW55" s="16">
        <f>AT55-(AU55+AV55)</f>
        <v>0</v>
      </c>
      <c r="AX55" s="16" t="e">
        <f>SUM(Ecuador_Played)</f>
        <v>#REF!</v>
      </c>
      <c r="AY55" s="16" t="e">
        <f>SUM(Ecuador_Against)</f>
        <v>#REF!</v>
      </c>
      <c r="AZ55" s="16" t="e">
        <f>AX55-AY55</f>
        <v>#REF!</v>
      </c>
      <c r="BA55" s="16">
        <f t="shared" ref="BA55:BA57" si="26">SUM((AU55*3)+(AW55*1))</f>
        <v>6</v>
      </c>
      <c r="BB55" s="16" t="str">
        <f>IF($BA55&lt;=$BA54,$AS55,$AS54)</f>
        <v>Correctie veld 4</v>
      </c>
      <c r="BC55" s="16">
        <f>VLOOKUP($BB55,$AS54:$BA57,9,FALSE)</f>
        <v>3</v>
      </c>
      <c r="BD55" s="16" t="str">
        <f>IF(BC55&gt;=BC57,BB55,BB57)</f>
        <v>Correctie veld 4</v>
      </c>
      <c r="BE55" s="16">
        <f>VLOOKUP($BD55,$AS54:$BA57,9,FALSE)</f>
        <v>3</v>
      </c>
      <c r="BF55" s="16" t="str">
        <f>IF($BE55&gt;=$BE56,$BD55,$BD56)</f>
        <v>Correctie veld 4</v>
      </c>
      <c r="BG55" s="16">
        <f>VLOOKUP($BF55,$AS54:$BA57,9,FALSE)</f>
        <v>3</v>
      </c>
      <c r="BH55" s="16" t="e">
        <f>VLOOKUP($BF55,$AS54:$BA57,8,FALSE)</f>
        <v>#REF!</v>
      </c>
      <c r="BI55" s="16" t="e">
        <f>IF(AND($BG54=$BG55,$BH55&gt;$BH54),$BF54,$BF55)</f>
        <v>#REF!</v>
      </c>
      <c r="BJ55" s="16" t="e">
        <f>VLOOKUP($BI55,$AS54:$BA57,9,FALSE)</f>
        <v>#REF!</v>
      </c>
      <c r="BK55" s="16" t="e">
        <f>VLOOKUP($BI55,$AS54:$BA57,8,FALSE)</f>
        <v>#REF!</v>
      </c>
      <c r="BL55" s="16" t="e">
        <f>IF(AND($BJ55=$BJ57,$BK57&gt;$BK55),$BI57,$BI55)</f>
        <v>#REF!</v>
      </c>
      <c r="BM55" s="16" t="e">
        <f>VLOOKUP($BL55,$AS54:$BA57,9,FALSE)</f>
        <v>#REF!</v>
      </c>
      <c r="BN55" s="16" t="e">
        <f>VLOOKUP($BL55,$AS54:$BA57,8,FALSE)</f>
        <v>#REF!</v>
      </c>
      <c r="BO55" s="16" t="e">
        <f>IF(AND($BM55=$BM56,$BN56&gt;$BN55),$BL56,$BL55)</f>
        <v>#REF!</v>
      </c>
      <c r="BP55" s="16" t="e">
        <f>VLOOKUP($BO55,$AS54:$BA57,9,FALSE)</f>
        <v>#REF!</v>
      </c>
      <c r="BQ55" s="16" t="e">
        <f>VLOOKUP($BO55,$AS54:$BA57,8,FALSE)</f>
        <v>#REF!</v>
      </c>
      <c r="BR55" s="16" t="e">
        <f>VLOOKUP($BO55,$AS54:$BA57,6,FALSE)</f>
        <v>#REF!</v>
      </c>
      <c r="BS55" s="16" t="e">
        <f>IF(AND($BP54=$BP55,$BQ54=$BQ55,$BR55&gt;$BR54),$BO54,$BO55)</f>
        <v>#REF!</v>
      </c>
      <c r="BT55" s="16" t="e">
        <f>VLOOKUP($BS55,$AS54:$BA57,9,FALSE)</f>
        <v>#REF!</v>
      </c>
      <c r="BU55" s="16" t="e">
        <f>VLOOKUP($BS55,$AS54:$BA57,8,FALSE)</f>
        <v>#REF!</v>
      </c>
      <c r="BV55" s="16" t="e">
        <f>VLOOKUP($BS55,$AS54:$BA57,6,FALSE)</f>
        <v>#REF!</v>
      </c>
      <c r="BW55" s="16" t="e">
        <f>IF(AND($BT55=$BT57,$BU55=$BU57,$BV57&gt;$BV55),$BS57,$BS55)</f>
        <v>#REF!</v>
      </c>
      <c r="BX55" s="16" t="e">
        <f>VLOOKUP($BW55,$AS54:$BA57,9,FALSE)</f>
        <v>#REF!</v>
      </c>
      <c r="BY55" s="16" t="e">
        <f>VLOOKUP($BW55,$AS54:$BA57,8,FALSE)</f>
        <v>#REF!</v>
      </c>
      <c r="BZ55" s="16" t="e">
        <f>VLOOKUP($BW55,$AS54:$BA57,6,FALSE)</f>
        <v>#REF!</v>
      </c>
      <c r="CA55" s="16" t="e">
        <f>IF(AND($BX55=$BX56,$BY55=$BY56,$BZ56&gt;$BZ55),$BW56,$BW55)</f>
        <v>#REF!</v>
      </c>
      <c r="CB55" s="16" t="e">
        <f>VLOOKUP($CA55,$AS54:$BA57,9,FALSE)</f>
        <v>#REF!</v>
      </c>
      <c r="CC55" s="16" t="e">
        <f>VLOOKUP($CA55,$AS54:$BA57,8,FALSE)</f>
        <v>#REF!</v>
      </c>
      <c r="CD55" s="16" t="e">
        <f>VLOOKUP($CA55,$AS54:$BA57,6,FALSE)</f>
        <v>#REF!</v>
      </c>
      <c r="CH55" s="16" t="e">
        <f>CA55</f>
        <v>#REF!</v>
      </c>
      <c r="CI55" s="16" t="e">
        <f>VLOOKUP($CH55,$AS54:$BA57,2,FALSE)</f>
        <v>#REF!</v>
      </c>
      <c r="CJ55" s="16" t="e">
        <f>VLOOKUP($CH55,$AS54:$BA57,3,FALSE)</f>
        <v>#REF!</v>
      </c>
      <c r="CK55" s="16" t="e">
        <f>VLOOKUP($CH55,$AS54:$BA57,4,FALSE)</f>
        <v>#REF!</v>
      </c>
      <c r="CL55" s="16" t="e">
        <f>VLOOKUP($CH55,$AS54:$BA57,5,FALSE)</f>
        <v>#REF!</v>
      </c>
      <c r="CM55" s="16" t="e">
        <f>VLOOKUP($CH55,$AS54:$BA57,6,FALSE)</f>
        <v>#REF!</v>
      </c>
      <c r="CN55" s="16" t="e">
        <f>VLOOKUP($CH55,$AS54:$BA57,7,FALSE)</f>
        <v>#REF!</v>
      </c>
      <c r="CO55" s="16" t="e">
        <f>VLOOKUP($CH55,$AS54:$BA57,8,FALSE)</f>
        <v>#REF!</v>
      </c>
      <c r="CP55" s="16" t="e">
        <f>VLOOKUP($CH55,$AS54:$BA57,9,FALSE)</f>
        <v>#REF!</v>
      </c>
      <c r="CR55" s="21" t="e">
        <f>#REF!</f>
        <v>#REF!</v>
      </c>
    </row>
    <row r="56" spans="1:96" ht="7.5" customHeight="1" thickBot="1" x14ac:dyDescent="0.25">
      <c r="A56" s="28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P56" s="32"/>
      <c r="R56" s="28"/>
      <c r="AG56" s="32"/>
      <c r="AH56" s="69" t="s">
        <v>201</v>
      </c>
      <c r="AI56" s="70" t="s">
        <v>200</v>
      </c>
      <c r="AJ56" s="70">
        <f>Z31</f>
        <v>4</v>
      </c>
      <c r="AK56" s="232">
        <f>AB31</f>
        <v>0</v>
      </c>
      <c r="AL56" s="73" t="s">
        <v>188</v>
      </c>
      <c r="AM56" s="50" t="s">
        <v>187</v>
      </c>
      <c r="AN56" s="44" t="s">
        <v>126</v>
      </c>
      <c r="AO56" s="45" t="str">
        <f>IF(AJ56&lt;&gt;"",IF(AJ56&gt;AK56,AI56,IF(AK56&gt;AJ56,AL56,"Draw")),"")</f>
        <v>Portugal</v>
      </c>
      <c r="AP56" s="45" t="str">
        <f>IF(AJ56&lt;&gt;"",IF(AJ56&lt;AK56,AI56,IF(AK56&lt;AJ56,AL56,"Draw")),"")</f>
        <v>South Korea</v>
      </c>
      <c r="AQ56" s="45"/>
      <c r="AS56" s="16" t="str">
        <f>KWALIFICATIE!S14</f>
        <v>Patti don't shout @ me</v>
      </c>
      <c r="AT56" s="16">
        <f>COUNT(Croatia_Played)</f>
        <v>2</v>
      </c>
      <c r="AU56" s="16">
        <f>COUNTIF(Groupstage_Winners,"Croatia")</f>
        <v>0</v>
      </c>
      <c r="AV56" s="16">
        <f>COUNTIF(Groupstage_Losers,"Croatia")</f>
        <v>1</v>
      </c>
      <c r="AW56" s="16">
        <f>AT56-(AU56+AV56)</f>
        <v>1</v>
      </c>
      <c r="AX56" s="16" t="e">
        <f>SUM(Croatia_Played)</f>
        <v>#REF!</v>
      </c>
      <c r="AY56" s="16" t="e">
        <f>SUM(Croatia_Against)</f>
        <v>#REF!</v>
      </c>
      <c r="AZ56" s="16" t="e">
        <f>AX56-AY56</f>
        <v>#REF!</v>
      </c>
      <c r="BA56" s="16">
        <f t="shared" si="26"/>
        <v>1</v>
      </c>
      <c r="BB56" s="16" t="str">
        <f>IF($BA56&gt;=$BA57,$AS56,$AS57)</f>
        <v>Patti don't shout @ me</v>
      </c>
      <c r="BC56" s="16">
        <f>VLOOKUP($BB56,$AS54:$BA57,9,FALSE)</f>
        <v>1</v>
      </c>
      <c r="BD56" s="16" t="str">
        <f>IF($BC56&lt;=$BC54,$BB56,$BB54)</f>
        <v>Patti don't shout @ me</v>
      </c>
      <c r="BE56" s="16">
        <f>VLOOKUP($BD56,$AS54:$BA57,9,FALSE)</f>
        <v>1</v>
      </c>
      <c r="BF56" s="16" t="str">
        <f>IF($BE56&lt;=$BE55,$BD56,$BD55)</f>
        <v>Patti don't shout @ me</v>
      </c>
      <c r="BG56" s="16">
        <f>VLOOKUP($BF56,$AS54:$BA57,9,FALSE)</f>
        <v>1</v>
      </c>
      <c r="BH56" s="16" t="e">
        <f>VLOOKUP($BF56,$AS54:$BA57,8,FALSE)</f>
        <v>#REF!</v>
      </c>
      <c r="BI56" s="16" t="e">
        <f>IF(AND($BG56=$BG57,$BH57&gt;$BH56),$BF57,$BF56)</f>
        <v>#REF!</v>
      </c>
      <c r="BJ56" s="16" t="e">
        <f>VLOOKUP($BI56,$AS54:$BA57,9,FALSE)</f>
        <v>#REF!</v>
      </c>
      <c r="BK56" s="16" t="e">
        <f>VLOOKUP($BI56,$AS54:$BA57,8,FALSE)</f>
        <v>#REF!</v>
      </c>
      <c r="BL56" s="16" t="e">
        <f>IF(AND($BJ54=$BJ56,$BK56&gt;$BK54),$BI54,$BI56)</f>
        <v>#REF!</v>
      </c>
      <c r="BM56" s="16" t="e">
        <f>VLOOKUP($BL56,$AS54:$BA57,9,FALSE)</f>
        <v>#REF!</v>
      </c>
      <c r="BN56" s="16" t="e">
        <f>VLOOKUP($BL56,$AS54:$BA57,8,FALSE)</f>
        <v>#REF!</v>
      </c>
      <c r="BO56" s="16" t="e">
        <f>IF(AND($BM55=$BM56,$BN56&gt;$BN55),$BL55,$BL56)</f>
        <v>#REF!</v>
      </c>
      <c r="BP56" s="16" t="e">
        <f>VLOOKUP($BO56,$AS54:$BA57,9,FALSE)</f>
        <v>#REF!</v>
      </c>
      <c r="BQ56" s="16" t="e">
        <f>VLOOKUP($BO56,$AS54:$BA57,8,FALSE)</f>
        <v>#REF!</v>
      </c>
      <c r="BR56" s="16" t="e">
        <f>VLOOKUP($BO56,$AS54:$BA57,6,FALSE)</f>
        <v>#REF!</v>
      </c>
      <c r="BS56" s="16" t="e">
        <f>IF(AND($BP56=$BP57,$BQ56=$BQ57,$BR57&gt;$BR56),$BO57,$BO56)</f>
        <v>#REF!</v>
      </c>
      <c r="BT56" s="16" t="e">
        <f>VLOOKUP($BS56,$AS54:$BA57,9,FALSE)</f>
        <v>#REF!</v>
      </c>
      <c r="BU56" s="16" t="e">
        <f>VLOOKUP($BS56,$AS54:$BA57,8,FALSE)</f>
        <v>#REF!</v>
      </c>
      <c r="BV56" s="16" t="e">
        <f>VLOOKUP($BS56,$AS54:$BA57,6,FALSE)</f>
        <v>#REF!</v>
      </c>
      <c r="BW56" s="16" t="e">
        <f>IF(AND($BT54=$BT56,$BU54=$BU56,$BV55&gt;$BV54),$BS54,$BS56)</f>
        <v>#REF!</v>
      </c>
      <c r="BX56" s="16" t="e">
        <f>VLOOKUP($BW56,$AS54:$BA57,9,FALSE)</f>
        <v>#REF!</v>
      </c>
      <c r="BY56" s="16" t="e">
        <f>VLOOKUP($BW56,$AS54:$BA57,8,FALSE)</f>
        <v>#REF!</v>
      </c>
      <c r="BZ56" s="16" t="e">
        <f>VLOOKUP($BW56,$AS54:$BA57,6,FALSE)</f>
        <v>#REF!</v>
      </c>
      <c r="CA56" s="16" t="e">
        <f>IF(AND($BX55=$BX56,$BY55=$BY56,$BZ56&gt;$BZ55),$BW55,$BW56)</f>
        <v>#REF!</v>
      </c>
      <c r="CB56" s="16" t="e">
        <f>VLOOKUP($CA56,$AS54:$BA57,9,FALSE)</f>
        <v>#REF!</v>
      </c>
      <c r="CC56" s="16" t="e">
        <f>VLOOKUP($CA56,$AS54:$BA57,8,FALSE)</f>
        <v>#REF!</v>
      </c>
      <c r="CD56" s="16" t="e">
        <f>VLOOKUP($CA56,$AS54:$BA57,6,FALSE)</f>
        <v>#REF!</v>
      </c>
      <c r="CH56" s="16" t="e">
        <f>CA56</f>
        <v>#REF!</v>
      </c>
      <c r="CI56" s="16" t="e">
        <f>VLOOKUP($CH56,$AS54:$BA57,2,FALSE)</f>
        <v>#REF!</v>
      </c>
      <c r="CJ56" s="16" t="e">
        <f>VLOOKUP($CH56,$AS54:$BA57,3,FALSE)</f>
        <v>#REF!</v>
      </c>
      <c r="CK56" s="16" t="e">
        <f>VLOOKUP($CH56,$AS54:$BA57,4,FALSE)</f>
        <v>#REF!</v>
      </c>
      <c r="CL56" s="16" t="e">
        <f>VLOOKUP($CH56,$AS54:$BA57,5,FALSE)</f>
        <v>#REF!</v>
      </c>
      <c r="CM56" s="16" t="e">
        <f>VLOOKUP($CH56,$AS54:$BA57,6,FALSE)</f>
        <v>#REF!</v>
      </c>
      <c r="CN56" s="16" t="e">
        <f>VLOOKUP($CH56,$AS54:$BA57,7,FALSE)</f>
        <v>#REF!</v>
      </c>
      <c r="CO56" s="16" t="e">
        <f>VLOOKUP($CH56,$AS54:$BA57,8,FALSE)</f>
        <v>#REF!</v>
      </c>
      <c r="CP56" s="16" t="e">
        <f>VLOOKUP($CH56,$AS54:$BA57,9,FALSE)</f>
        <v>#REF!</v>
      </c>
      <c r="CR56" s="21" t="e">
        <f>#REF!</f>
        <v>#REF!</v>
      </c>
    </row>
    <row r="57" spans="1:96" ht="9.75" customHeight="1" x14ac:dyDescent="0.2">
      <c r="A57" s="246" t="s">
        <v>85</v>
      </c>
      <c r="B57" s="339"/>
      <c r="C57" s="339"/>
      <c r="D57" s="124" t="s">
        <v>86</v>
      </c>
      <c r="E57" s="124"/>
      <c r="F57" s="124"/>
      <c r="G57" s="124"/>
      <c r="H57" s="124"/>
      <c r="I57" s="515" t="s">
        <v>15</v>
      </c>
      <c r="J57" s="515"/>
      <c r="K57" s="515"/>
      <c r="L57" s="532"/>
      <c r="M57" s="532"/>
      <c r="N57" s="532"/>
      <c r="O57" s="532"/>
      <c r="P57" s="533"/>
      <c r="R57" s="246" t="s">
        <v>85</v>
      </c>
      <c r="S57" s="339"/>
      <c r="T57" s="339"/>
      <c r="U57" s="124" t="s">
        <v>86</v>
      </c>
      <c r="V57" s="124"/>
      <c r="W57" s="124"/>
      <c r="X57" s="124"/>
      <c r="Y57" s="124"/>
      <c r="Z57" s="515" t="s">
        <v>15</v>
      </c>
      <c r="AA57" s="515"/>
      <c r="AB57" s="515"/>
      <c r="AC57" s="532"/>
      <c r="AD57" s="532"/>
      <c r="AE57" s="532"/>
      <c r="AF57" s="532"/>
      <c r="AG57" s="533"/>
      <c r="AI57" s="77"/>
      <c r="AJ57" s="63"/>
      <c r="AK57" s="78"/>
      <c r="AL57" s="78"/>
      <c r="AM57" s="47"/>
      <c r="AN57" s="45"/>
      <c r="AO57" s="45"/>
      <c r="AP57" s="45"/>
      <c r="AQ57" s="45"/>
      <c r="AS57" s="16" t="str">
        <f>KWALIFICATIE!S16</f>
        <v>Sporting Almere</v>
      </c>
      <c r="AT57" s="16">
        <f>COUNT(Mexico_Played)</f>
        <v>2</v>
      </c>
      <c r="AU57" s="16">
        <f>COUNTIF(Groupstage_Winners,"Mexico")</f>
        <v>0</v>
      </c>
      <c r="AV57" s="16">
        <f>COUNTIF(Groupstage_Losers,"Mexico")</f>
        <v>1</v>
      </c>
      <c r="AW57" s="16">
        <f>AT57-(AU57+AV57)</f>
        <v>1</v>
      </c>
      <c r="AX57" s="16" t="e">
        <f>SUM(Mexico_Played)</f>
        <v>#REF!</v>
      </c>
      <c r="AY57" s="16" t="e">
        <f>SUM(Mexico_Against)</f>
        <v>#REF!</v>
      </c>
      <c r="AZ57" s="16" t="e">
        <f>AX57-AY57</f>
        <v>#REF!</v>
      </c>
      <c r="BA57" s="16">
        <f t="shared" si="26"/>
        <v>1</v>
      </c>
      <c r="BB57" s="16" t="str">
        <f>IF($BA57&lt;=$BA56,$AS57,$AS56)</f>
        <v>Sporting Almere</v>
      </c>
      <c r="BC57" s="16">
        <f>VLOOKUP($BB57,$AS54:$BA57,9,FALSE)</f>
        <v>1</v>
      </c>
      <c r="BD57" s="16" t="str">
        <f>IF(BC57&lt;=BC55,BB57,BB55)</f>
        <v>Sporting Almere</v>
      </c>
      <c r="BE57" s="16">
        <f>VLOOKUP($BD57,$AS54:$BA57,9,FALSE)</f>
        <v>1</v>
      </c>
      <c r="BF57" s="16" t="str">
        <f>IF($BE57&lt;=$BE54,$BD57,$BD54)</f>
        <v>Sporting Almere</v>
      </c>
      <c r="BG57" s="16">
        <f>VLOOKUP($BF57,$AS54:$BA57,9,FALSE)</f>
        <v>1</v>
      </c>
      <c r="BH57" s="16" t="e">
        <f>VLOOKUP($BF57,$AS54:$BA57,8,FALSE)</f>
        <v>#REF!</v>
      </c>
      <c r="BI57" s="16" t="e">
        <f>IF(AND($BG56=$BG57,$BH57&gt;$BH56),$BF56,$BF57)</f>
        <v>#REF!</v>
      </c>
      <c r="BJ57" s="16" t="e">
        <f>VLOOKUP($BI57,$AS54:$BA57,9,FALSE)</f>
        <v>#REF!</v>
      </c>
      <c r="BK57" s="16" t="e">
        <f>VLOOKUP($BI57,$AS54:$BA57,8,FALSE)</f>
        <v>#REF!</v>
      </c>
      <c r="BL57" s="16" t="e">
        <f>IF(AND($BJ55=$BJ57,$BK57&gt;$BK55),$BI55,$BI57)</f>
        <v>#REF!</v>
      </c>
      <c r="BM57" s="16" t="e">
        <f>VLOOKUP($BL57,$AS54:$BA57,9,FALSE)</f>
        <v>#REF!</v>
      </c>
      <c r="BN57" s="16" t="e">
        <f>VLOOKUP($BL57,$AS54:$BA57,8,FALSE)</f>
        <v>#REF!</v>
      </c>
      <c r="BO57" s="16" t="e">
        <f>IF(AND($BM54=$BM57,$BN57&gt;$BN54),$BL54,$BL57)</f>
        <v>#REF!</v>
      </c>
      <c r="BP57" s="16" t="e">
        <f>VLOOKUP($BO57,$AS54:$BA57,9,FALSE)</f>
        <v>#REF!</v>
      </c>
      <c r="BQ57" s="16" t="e">
        <f>VLOOKUP($BO57,$AS54:$BA57,8,FALSE)</f>
        <v>#REF!</v>
      </c>
      <c r="BR57" s="16" t="e">
        <f>VLOOKUP($BO57,$AS54:$BA57,6,FALSE)</f>
        <v>#REF!</v>
      </c>
      <c r="BS57" s="16" t="e">
        <f>IF(AND($BP56=$BP57,$BQ56=$BQ57,$BR57&gt;$BR56),$BO56,$BO57)</f>
        <v>#REF!</v>
      </c>
      <c r="BT57" s="16" t="e">
        <f>VLOOKUP($BS57,$AS54:$BA57,9,FALSE)</f>
        <v>#REF!</v>
      </c>
      <c r="BU57" s="16" t="e">
        <f>VLOOKUP($BS57,$AS54:$BA57,8,FALSE)</f>
        <v>#REF!</v>
      </c>
      <c r="BV57" s="16" t="e">
        <f>VLOOKUP($BS57,$AS54:$BA57,6,FALSE)</f>
        <v>#REF!</v>
      </c>
      <c r="BW57" s="16" t="e">
        <f>IF(AND($BT55=$BT57,$BU55=$BU57,$BV57&gt;$BV55),$BS55,$BS57)</f>
        <v>#REF!</v>
      </c>
      <c r="BX57" s="16" t="e">
        <f>VLOOKUP($BW57,$AS54:$BA57,9,FALSE)</f>
        <v>#REF!</v>
      </c>
      <c r="BY57" s="16" t="e">
        <f>VLOOKUP($BW57,$AS54:$BA57,8,FALSE)</f>
        <v>#REF!</v>
      </c>
      <c r="BZ57" s="16" t="e">
        <f>VLOOKUP($BW57,$AS54:$BA57,6,FALSE)</f>
        <v>#REF!</v>
      </c>
      <c r="CA57" s="16" t="e">
        <f>IF(AND($BX54=$BX57,$BY54=$BY57,$BZ57&gt;$BZ54),$BW54,$BW57)</f>
        <v>#REF!</v>
      </c>
      <c r="CB57" s="16" t="e">
        <f>VLOOKUP($CA57,$AS54:$BA57,9,FALSE)</f>
        <v>#REF!</v>
      </c>
      <c r="CC57" s="16" t="e">
        <f>VLOOKUP($CA57,$AS54:$BA57,8,FALSE)</f>
        <v>#REF!</v>
      </c>
      <c r="CD57" s="16" t="e">
        <f>VLOOKUP($CA57,$AS54:$BA57,6,FALSE)</f>
        <v>#REF!</v>
      </c>
      <c r="CH57" s="16" t="e">
        <f>CA57</f>
        <v>#REF!</v>
      </c>
      <c r="CI57" s="16" t="e">
        <f>VLOOKUP($CH57,$AS54:$BA57,2,FALSE)</f>
        <v>#REF!</v>
      </c>
      <c r="CJ57" s="16" t="e">
        <f>VLOOKUP($CH57,$AS54:$BA57,3,FALSE)</f>
        <v>#REF!</v>
      </c>
      <c r="CK57" s="16" t="e">
        <f>VLOOKUP($CH57,$AS54:$BA57,4,FALSE)</f>
        <v>#REF!</v>
      </c>
      <c r="CL57" s="16" t="e">
        <f>VLOOKUP($CH57,$AS54:$BA57,5,FALSE)</f>
        <v>#REF!</v>
      </c>
      <c r="CM57" s="16" t="e">
        <f>VLOOKUP($CH57,$AS54:$BA57,6,FALSE)</f>
        <v>#REF!</v>
      </c>
      <c r="CN57" s="16" t="e">
        <f>VLOOKUP($CH57,$AS54:$BA57,7,FALSE)</f>
        <v>#REF!</v>
      </c>
      <c r="CO57" s="16" t="e">
        <f>VLOOKUP($CH57,$AS54:$BA57,8,FALSE)</f>
        <v>#REF!</v>
      </c>
      <c r="CP57" s="16" t="e">
        <f>VLOOKUP($CH57,$AS54:$BA57,9,FALSE)</f>
        <v>#REF!</v>
      </c>
      <c r="CR57" s="21"/>
    </row>
    <row r="58" spans="1:96" ht="12.95" customHeight="1" x14ac:dyDescent="0.2">
      <c r="A58" s="520">
        <f>START!C4</f>
        <v>0.45833333333333331</v>
      </c>
      <c r="B58" s="518"/>
      <c r="C58" s="283"/>
      <c r="D58" s="337" t="str">
        <f>AS54</f>
        <v>Correctie veld 4</v>
      </c>
      <c r="E58" s="283" t="s">
        <v>16</v>
      </c>
      <c r="F58" s="518" t="str">
        <f>AS55</f>
        <v>Combiwel</v>
      </c>
      <c r="G58" s="518"/>
      <c r="H58" s="518"/>
      <c r="I58" s="165">
        <f>KWALIFICATIE!O44</f>
        <v>0</v>
      </c>
      <c r="J58" s="334" t="s">
        <v>16</v>
      </c>
      <c r="K58" s="166">
        <f>KWALIFICATIE!Q44</f>
        <v>1</v>
      </c>
      <c r="L58" s="518"/>
      <c r="M58" s="518"/>
      <c r="N58" s="518"/>
      <c r="O58" s="518"/>
      <c r="P58" s="519"/>
      <c r="Q58" s="29"/>
      <c r="R58" s="520">
        <f>START!C4</f>
        <v>0.45833333333333331</v>
      </c>
      <c r="S58" s="518"/>
      <c r="T58" s="283"/>
      <c r="U58" s="337" t="str">
        <f>AS61</f>
        <v>FC Isjeneefer</v>
      </c>
      <c r="V58" s="283" t="s">
        <v>16</v>
      </c>
      <c r="W58" s="518" t="str">
        <f>AS62</f>
        <v>Kampongveldert</v>
      </c>
      <c r="X58" s="518"/>
      <c r="Y58" s="518"/>
      <c r="Z58" s="165">
        <f>KWALIFICATIE!O46</f>
        <v>0</v>
      </c>
      <c r="AA58" s="334" t="s">
        <v>16</v>
      </c>
      <c r="AB58" s="166">
        <f>KWALIFICATIE!Q46</f>
        <v>2</v>
      </c>
      <c r="AC58" s="518"/>
      <c r="AD58" s="518"/>
      <c r="AE58" s="518"/>
      <c r="AF58" s="518"/>
      <c r="AG58" s="519"/>
      <c r="AI58" s="77"/>
      <c r="AJ58" s="63"/>
      <c r="AK58" s="78"/>
      <c r="AL58" s="78"/>
      <c r="AM58" s="47"/>
      <c r="AN58" s="45"/>
      <c r="AO58" s="45"/>
      <c r="AP58" s="45"/>
      <c r="AQ58" s="45"/>
      <c r="CR58" s="21"/>
    </row>
    <row r="59" spans="1:96" ht="12.95" customHeight="1" x14ac:dyDescent="0.2">
      <c r="A59" s="520">
        <f>A58</f>
        <v>0.45833333333333331</v>
      </c>
      <c r="B59" s="518"/>
      <c r="C59" s="283"/>
      <c r="D59" s="24" t="str">
        <f>AS56</f>
        <v>Patti don't shout @ me</v>
      </c>
      <c r="E59" s="283" t="s">
        <v>16</v>
      </c>
      <c r="F59" s="518" t="str">
        <f>AS57</f>
        <v>Sporting Almere</v>
      </c>
      <c r="G59" s="518"/>
      <c r="H59" s="518"/>
      <c r="I59" s="165">
        <f>KWALIFICATIE!O45</f>
        <v>2</v>
      </c>
      <c r="J59" s="334" t="s">
        <v>16</v>
      </c>
      <c r="K59" s="166">
        <f>KWALIFICATIE!Q45</f>
        <v>2</v>
      </c>
      <c r="L59" s="518"/>
      <c r="M59" s="518"/>
      <c r="N59" s="518"/>
      <c r="O59" s="518"/>
      <c r="P59" s="519"/>
      <c r="Q59" s="29"/>
      <c r="R59" s="520">
        <f>R58</f>
        <v>0.45833333333333331</v>
      </c>
      <c r="S59" s="518"/>
      <c r="T59" s="283"/>
      <c r="U59" s="24" t="str">
        <f>AS63</f>
        <v>Orion</v>
      </c>
      <c r="V59" s="283" t="s">
        <v>16</v>
      </c>
      <c r="W59" s="518">
        <f>AS64</f>
        <v>0</v>
      </c>
      <c r="X59" s="518"/>
      <c r="Y59" s="518"/>
      <c r="Z59" s="165">
        <f>KWALIFICATIE!O47</f>
        <v>0</v>
      </c>
      <c r="AA59" s="334" t="s">
        <v>16</v>
      </c>
      <c r="AB59" s="166">
        <f>KWALIFICATIE!Q47</f>
        <v>4</v>
      </c>
      <c r="AC59" s="518"/>
      <c r="AD59" s="518"/>
      <c r="AE59" s="518"/>
      <c r="AF59" s="518"/>
      <c r="AG59" s="519"/>
      <c r="AI59" s="79"/>
      <c r="AJ59" s="80"/>
      <c r="AK59" s="79"/>
      <c r="AL59" s="79"/>
      <c r="AM59" s="47"/>
      <c r="AN59" s="42"/>
      <c r="AO59" s="41"/>
      <c r="AP59" s="41"/>
      <c r="AS59" s="16" t="s">
        <v>209</v>
      </c>
      <c r="CR59" s="21"/>
    </row>
    <row r="60" spans="1:96" ht="12.95" customHeight="1" x14ac:dyDescent="0.2">
      <c r="A60" s="520">
        <f>START!C7</f>
        <v>0.48958333333333331</v>
      </c>
      <c r="B60" s="518"/>
      <c r="C60" s="283"/>
      <c r="D60" s="24" t="str">
        <f>AS54</f>
        <v>Correctie veld 4</v>
      </c>
      <c r="E60" s="283" t="s">
        <v>16</v>
      </c>
      <c r="F60" s="518" t="str">
        <f>AS56</f>
        <v>Patti don't shout @ me</v>
      </c>
      <c r="G60" s="518"/>
      <c r="H60" s="518"/>
      <c r="I60" s="165" t="e">
        <f>KWALIFICATIE!#REF!</f>
        <v>#REF!</v>
      </c>
      <c r="J60" s="334" t="s">
        <v>16</v>
      </c>
      <c r="K60" s="166" t="e">
        <f>KWALIFICATIE!#REF!</f>
        <v>#REF!</v>
      </c>
      <c r="L60" s="518"/>
      <c r="M60" s="518"/>
      <c r="N60" s="518"/>
      <c r="O60" s="518"/>
      <c r="P60" s="519"/>
      <c r="R60" s="520">
        <f>START!C7</f>
        <v>0.48958333333333331</v>
      </c>
      <c r="S60" s="518"/>
      <c r="T60" s="283"/>
      <c r="U60" s="24" t="str">
        <f>AS61</f>
        <v>FC Isjeneefer</v>
      </c>
      <c r="V60" s="283" t="s">
        <v>16</v>
      </c>
      <c r="W60" s="518" t="str">
        <f>AS63</f>
        <v>Orion</v>
      </c>
      <c r="X60" s="518"/>
      <c r="Y60" s="518"/>
      <c r="Z60" s="165">
        <f>KWALIFICATIE!AD46</f>
        <v>8</v>
      </c>
      <c r="AA60" s="334" t="s">
        <v>16</v>
      </c>
      <c r="AB60" s="166">
        <f>KWALIFICATIE!AF46</f>
        <v>0</v>
      </c>
      <c r="AC60" s="518"/>
      <c r="AD60" s="518"/>
      <c r="AE60" s="518"/>
      <c r="AF60" s="518"/>
      <c r="AG60" s="519"/>
      <c r="AI60" s="81"/>
      <c r="AJ60" s="80"/>
      <c r="AK60" s="81"/>
      <c r="AL60" s="81"/>
      <c r="AM60" s="47"/>
      <c r="AN60" s="43"/>
      <c r="AO60" s="41"/>
      <c r="AP60" s="41"/>
      <c r="AT60" s="16" t="s">
        <v>124</v>
      </c>
      <c r="AU60" s="16" t="s">
        <v>110</v>
      </c>
      <c r="AV60" s="16" t="s">
        <v>125</v>
      </c>
      <c r="AW60" s="16" t="s">
        <v>126</v>
      </c>
      <c r="AX60" s="16" t="s">
        <v>127</v>
      </c>
      <c r="AY60" s="16" t="s">
        <v>123</v>
      </c>
      <c r="AZ60" s="16" t="s">
        <v>128</v>
      </c>
      <c r="BA60" s="16" t="s">
        <v>129</v>
      </c>
      <c r="CR60" s="21"/>
    </row>
    <row r="61" spans="1:96" ht="12.95" customHeight="1" thickBot="1" x14ac:dyDescent="0.25">
      <c r="A61" s="520">
        <f>A60</f>
        <v>0.48958333333333331</v>
      </c>
      <c r="B61" s="518"/>
      <c r="C61" s="283"/>
      <c r="D61" s="24" t="str">
        <f>AS57</f>
        <v>Sporting Almere</v>
      </c>
      <c r="E61" s="283" t="s">
        <v>16</v>
      </c>
      <c r="F61" s="518" t="str">
        <f>AS55</f>
        <v>Combiwel</v>
      </c>
      <c r="G61" s="518"/>
      <c r="H61" s="518"/>
      <c r="I61" s="165" t="e">
        <f>KWALIFICATIE!#REF!</f>
        <v>#REF!</v>
      </c>
      <c r="J61" s="334" t="s">
        <v>16</v>
      </c>
      <c r="K61" s="166" t="e">
        <f>KWALIFICATIE!#REF!</f>
        <v>#REF!</v>
      </c>
      <c r="L61" s="518"/>
      <c r="M61" s="518"/>
      <c r="N61" s="518"/>
      <c r="O61" s="518"/>
      <c r="P61" s="519"/>
      <c r="R61" s="520">
        <f>R60</f>
        <v>0.48958333333333331</v>
      </c>
      <c r="S61" s="518"/>
      <c r="T61" s="283"/>
      <c r="U61" s="24">
        <f>AS64</f>
        <v>0</v>
      </c>
      <c r="V61" s="283" t="s">
        <v>16</v>
      </c>
      <c r="W61" s="518" t="str">
        <f>AS62</f>
        <v>Kampongveldert</v>
      </c>
      <c r="X61" s="518"/>
      <c r="Y61" s="518"/>
      <c r="Z61" s="165">
        <f>KWALIFICATIE!AD47</f>
        <v>4</v>
      </c>
      <c r="AA61" s="334" t="s">
        <v>16</v>
      </c>
      <c r="AB61" s="166">
        <f>KWALIFICATIE!AF47</f>
        <v>0</v>
      </c>
      <c r="AC61" s="518"/>
      <c r="AD61" s="518"/>
      <c r="AE61" s="518"/>
      <c r="AF61" s="518"/>
      <c r="AG61" s="519"/>
      <c r="AI61" s="239"/>
      <c r="AJ61" s="240"/>
      <c r="AK61" s="82"/>
      <c r="AL61" s="82"/>
      <c r="AM61" s="47"/>
      <c r="AN61" s="41"/>
      <c r="AO61" s="41"/>
      <c r="AP61" s="41"/>
      <c r="AS61" s="16" t="str">
        <f>KWALIFICATIE!Z12</f>
        <v>FC Isjeneefer</v>
      </c>
      <c r="AT61" s="16">
        <f>COUNT(Japan_Played)</f>
        <v>3</v>
      </c>
      <c r="AU61" s="16">
        <f>COUNTIF(Groupstage_Winners,"Japan")</f>
        <v>2</v>
      </c>
      <c r="AV61" s="16">
        <f>COUNTIF(Groupstage_Losers,"Japan")</f>
        <v>1</v>
      </c>
      <c r="AW61" s="16">
        <f>AT61-(AU61+AV61)</f>
        <v>0</v>
      </c>
      <c r="AX61" s="16">
        <f>SUM(Japan_Played)</f>
        <v>11</v>
      </c>
      <c r="AY61" s="16">
        <f>SUM(Japan_Against)</f>
        <v>3</v>
      </c>
      <c r="AZ61" s="16">
        <f>AX61-AY61</f>
        <v>8</v>
      </c>
      <c r="BA61" s="16">
        <f>SUM((AU61*3)+(AW61*1))</f>
        <v>6</v>
      </c>
      <c r="BB61" s="16" t="str">
        <f>IF($BA61&gt;=$BA62,$AS61,$AS62)</f>
        <v>FC Isjeneefer</v>
      </c>
      <c r="BC61" s="16">
        <f>VLOOKUP($BB61,$AS61:$BA64,9,FALSE)</f>
        <v>6</v>
      </c>
      <c r="BD61" s="16" t="str">
        <f>IF($BC61&gt;=$BC63,$BB61,$BB63)</f>
        <v>FC Isjeneefer</v>
      </c>
      <c r="BE61" s="16">
        <f>VLOOKUP($BD61,$AS61:$BA64,9,FALSE)</f>
        <v>6</v>
      </c>
      <c r="BF61" s="16" t="str">
        <f>IF($BE61&gt;=$BE64,$BD61,$BD64)</f>
        <v>FC Isjeneefer</v>
      </c>
      <c r="BG61" s="16">
        <f>VLOOKUP($BF61,$AS61:$BA64,9,FALSE)</f>
        <v>6</v>
      </c>
      <c r="BH61" s="16">
        <f>VLOOKUP($BF61,$AS61:$BA64,8,FALSE)</f>
        <v>8</v>
      </c>
      <c r="BI61" s="16" t="str">
        <f>IF(AND($BG61=$BG62,$BH62&gt;$BH61),$BF62,$BF61)</f>
        <v>FC Isjeneefer</v>
      </c>
      <c r="BJ61" s="16">
        <f>VLOOKUP($BI61,$AS61:$BA64,9,FALSE)</f>
        <v>6</v>
      </c>
      <c r="BK61" s="16">
        <f>VLOOKUP($BI61,$AS61:$BA64,8,FALSE)</f>
        <v>8</v>
      </c>
      <c r="BL61" s="16" t="str">
        <f>IF(AND($BJ61=$BJ63,$BK63&gt;$BK61),$BI63,$BI61)</f>
        <v>FC Isjeneefer</v>
      </c>
      <c r="BM61" s="16">
        <f>VLOOKUP($BL61,$AS61:$BA64,9,FALSE)</f>
        <v>6</v>
      </c>
      <c r="BN61" s="16">
        <f>VLOOKUP($BL61,$AS61:$BA64,8,FALSE)</f>
        <v>8</v>
      </c>
      <c r="BO61" s="16" t="str">
        <f>IF(AND($BM61=$BM64,$BN64&gt;$BN61),$BL64,$BL61)</f>
        <v>FC Isjeneefer</v>
      </c>
      <c r="BP61" s="16">
        <f>VLOOKUP($BO61,$AS61:$BA64,9,FALSE)</f>
        <v>6</v>
      </c>
      <c r="BQ61" s="16">
        <f>VLOOKUP($BO61,$AS61:$BA64,8,FALSE)</f>
        <v>8</v>
      </c>
      <c r="BR61" s="16">
        <f>VLOOKUP($BO61,$AS61:$BA64,6,FALSE)</f>
        <v>11</v>
      </c>
      <c r="BS61" s="16" t="str">
        <f>IF(AND($BP61=$BP62,$BQ61=$BQ62,$BR62&gt;$BR61),$BO62,$BO61)</f>
        <v>FC Isjeneefer</v>
      </c>
      <c r="BT61" s="16">
        <f>VLOOKUP($BS61,$AS61:$BA64,9,FALSE)</f>
        <v>6</v>
      </c>
      <c r="BU61" s="16">
        <f>VLOOKUP($BS61,$AS61:$BA64,8,FALSE)</f>
        <v>8</v>
      </c>
      <c r="BV61" s="16">
        <f>VLOOKUP($BS61,$AS61:$BA64,6,FALSE)</f>
        <v>11</v>
      </c>
      <c r="BW61" s="16" t="str">
        <f>IF(AND($BT61=$BT63,$BU61=$BU63,$BV63&gt;$BV61),$BS63,$BS61)</f>
        <v>FC Isjeneefer</v>
      </c>
      <c r="BX61" s="16">
        <f>VLOOKUP($BW61,$AS61:$BA64,9,FALSE)</f>
        <v>6</v>
      </c>
      <c r="BY61" s="16">
        <f>VLOOKUP($BW61,$AS61:$BA64,8,FALSE)</f>
        <v>8</v>
      </c>
      <c r="BZ61" s="16">
        <f>VLOOKUP($BW61,$AS61:$BA64,6,FALSE)</f>
        <v>11</v>
      </c>
      <c r="CA61" s="16" t="str">
        <f>IF(AND($BX61=$BX64,$BY61=$BY64,$BZ64&gt;$BZ61),$BW64,$BW61)</f>
        <v>FC Isjeneefer</v>
      </c>
      <c r="CB61" s="16">
        <f>VLOOKUP($CA61,$AS61:$BA64,9,FALSE)</f>
        <v>6</v>
      </c>
      <c r="CC61" s="16">
        <f>VLOOKUP($CA61,$AS61:$BA64,8,FALSE)</f>
        <v>8</v>
      </c>
      <c r="CD61" s="16">
        <f>VLOOKUP($CA61,$AS61:$BA64,6,FALSE)</f>
        <v>11</v>
      </c>
      <c r="CH61" s="16" t="str">
        <f>CA61</f>
        <v>FC Isjeneefer</v>
      </c>
      <c r="CI61" s="16">
        <f>VLOOKUP($CH61,$AS61:$BA64,2,FALSE)</f>
        <v>3</v>
      </c>
      <c r="CJ61" s="16">
        <f>VLOOKUP($CH61,$AS61:$BA64,3,FALSE)</f>
        <v>2</v>
      </c>
      <c r="CK61" s="16">
        <f>VLOOKUP($CH61,$AS61:$BA64,4,FALSE)</f>
        <v>1</v>
      </c>
      <c r="CL61" s="16">
        <f>VLOOKUP($CH61,$AS61:$BA64,5,FALSE)</f>
        <v>0</v>
      </c>
      <c r="CM61" s="16">
        <f>VLOOKUP($CH61,$AS61:$BA64,6,FALSE)</f>
        <v>11</v>
      </c>
      <c r="CN61" s="16">
        <f>VLOOKUP($CH61,$AS61:$BA64,7,FALSE)</f>
        <v>3</v>
      </c>
      <c r="CO61" s="16">
        <f>VLOOKUP($CH61,$AS61:$BA64,8,FALSE)</f>
        <v>8</v>
      </c>
      <c r="CP61" s="16">
        <f>VLOOKUP($CH61,$AS61:$BA64,9,FALSE)</f>
        <v>6</v>
      </c>
      <c r="CR61" s="21"/>
    </row>
    <row r="62" spans="1:96" ht="12.95" customHeight="1" thickBot="1" x14ac:dyDescent="0.25">
      <c r="A62" s="520">
        <f>START!C10</f>
        <v>0.52083333333333337</v>
      </c>
      <c r="B62" s="518"/>
      <c r="C62" s="283"/>
      <c r="D62" s="24" t="str">
        <f>AS55</f>
        <v>Combiwel</v>
      </c>
      <c r="E62" s="283" t="s">
        <v>16</v>
      </c>
      <c r="F62" s="518" t="str">
        <f>AS56</f>
        <v>Patti don't shout @ me</v>
      </c>
      <c r="G62" s="518"/>
      <c r="H62" s="518"/>
      <c r="I62" s="165">
        <f>EINDRONDE!O29</f>
        <v>2</v>
      </c>
      <c r="J62" s="334" t="s">
        <v>16</v>
      </c>
      <c r="K62" s="166">
        <f>EINDRONDE!Q29</f>
        <v>0</v>
      </c>
      <c r="L62" s="518"/>
      <c r="M62" s="518"/>
      <c r="N62" s="518"/>
      <c r="O62" s="518"/>
      <c r="P62" s="519"/>
      <c r="R62" s="520">
        <f>START!C11</f>
        <v>0.53125</v>
      </c>
      <c r="S62" s="518"/>
      <c r="T62" s="283"/>
      <c r="U62" s="24" t="str">
        <f>AS62</f>
        <v>Kampongveldert</v>
      </c>
      <c r="V62" s="283" t="s">
        <v>16</v>
      </c>
      <c r="W62" s="518" t="str">
        <f>AS63</f>
        <v>Orion</v>
      </c>
      <c r="X62" s="518"/>
      <c r="Y62" s="518"/>
      <c r="Z62" s="165">
        <f>EINDRONDE!O31</f>
        <v>0</v>
      </c>
      <c r="AA62" s="334" t="s">
        <v>16</v>
      </c>
      <c r="AB62" s="166">
        <f>EINDRONDE!Q31</f>
        <v>2</v>
      </c>
      <c r="AC62" s="518"/>
      <c r="AD62" s="518"/>
      <c r="AE62" s="518"/>
      <c r="AF62" s="518"/>
      <c r="AG62" s="519"/>
      <c r="AI62" s="240" t="str">
        <f>IF(G37=3,C37,"Winner E")</f>
        <v>Winner E</v>
      </c>
      <c r="AJ62" s="240"/>
      <c r="AK62" s="236"/>
      <c r="AL62" s="82" t="str">
        <f>IF(X6=3,T6,"Runner-Up B")</f>
        <v>Runner-Up B</v>
      </c>
      <c r="AM62" s="47"/>
      <c r="AN62" s="41"/>
      <c r="AO62" s="41" t="str">
        <f>IF(AJ62&lt;&gt;"",IF(AJ62&gt;AK62,AI62,IF(AK62&gt;AJ62,AL62,"Draw")),"Second Rd 1")</f>
        <v>Second Rd 1</v>
      </c>
      <c r="AP62" s="41"/>
      <c r="AS62" s="16" t="str">
        <f>KWALIFICATIE!Z13</f>
        <v>Kampongveldert</v>
      </c>
      <c r="AT62" s="16">
        <f>COUNT(Belgium_Played)</f>
        <v>3</v>
      </c>
      <c r="AU62" s="16">
        <f>COUNTIF(Groupstage_Winners,"Belgium")</f>
        <v>1</v>
      </c>
      <c r="AV62" s="16">
        <f>COUNTIF(Groupstage_Losers,"Belgium")</f>
        <v>2</v>
      </c>
      <c r="AW62" s="16">
        <f>AT62-(AU62+AV62)</f>
        <v>0</v>
      </c>
      <c r="AX62" s="16">
        <f>SUM(Belgium_Played)</f>
        <v>2</v>
      </c>
      <c r="AY62" s="16">
        <f>SUM(Belgium_Against)</f>
        <v>6</v>
      </c>
      <c r="AZ62" s="16">
        <f>AX62-AY62</f>
        <v>-4</v>
      </c>
      <c r="BA62" s="16">
        <f t="shared" ref="BA62:BA64" si="27">SUM((AU62*3)+(AW62*1))</f>
        <v>3</v>
      </c>
      <c r="BB62" s="16" t="str">
        <f>IF($BA62&lt;=$BA61,$AS62,$AS61)</f>
        <v>Kampongveldert</v>
      </c>
      <c r="BC62" s="16">
        <f>VLOOKUP($BB62,$AS61:$BA64,9,FALSE)</f>
        <v>3</v>
      </c>
      <c r="BD62" s="16" t="str">
        <f>IF(BC62&gt;=BC64,BB62,BB64)</f>
        <v>Kampongveldert</v>
      </c>
      <c r="BE62" s="16">
        <f>VLOOKUP($BD62,$AS61:$BA64,9,FALSE)</f>
        <v>3</v>
      </c>
      <c r="BF62" s="16">
        <f>IF($BE62&gt;=$BE63,$BD62,$BD63)</f>
        <v>0</v>
      </c>
      <c r="BG62" s="16">
        <f>VLOOKUP($BF62,$AS61:$BA64,9,FALSE)</f>
        <v>6</v>
      </c>
      <c r="BH62" s="16">
        <f>VLOOKUP($BF62,$AS61:$BA64,8,FALSE)</f>
        <v>6</v>
      </c>
      <c r="BI62" s="16">
        <f>IF(AND($BG61=$BG62,$BH62&gt;$BH61),$BF61,$BF62)</f>
        <v>0</v>
      </c>
      <c r="BJ62" s="16">
        <f>VLOOKUP($BI62,$AS61:$BA64,9,FALSE)</f>
        <v>6</v>
      </c>
      <c r="BK62" s="16">
        <f>VLOOKUP($BI62,$AS61:$BA64,8,FALSE)</f>
        <v>6</v>
      </c>
      <c r="BL62" s="16">
        <f>IF(AND($BJ62=$BJ64,$BK64&gt;$BK62),$BI64,$BI62)</f>
        <v>0</v>
      </c>
      <c r="BM62" s="16">
        <f>VLOOKUP($BL62,$AS61:$BA64,9,FALSE)</f>
        <v>6</v>
      </c>
      <c r="BN62" s="16">
        <f>VLOOKUP($BL62,$AS61:$BA64,8,FALSE)</f>
        <v>6</v>
      </c>
      <c r="BO62" s="16">
        <f>IF(AND($BM62=$BM63,$BN63&gt;$BN62),$BL63,$BL62)</f>
        <v>0</v>
      </c>
      <c r="BP62" s="16">
        <f>VLOOKUP($BO62,$AS61:$BA64,9,FALSE)</f>
        <v>6</v>
      </c>
      <c r="BQ62" s="16">
        <f>VLOOKUP($BO62,$AS61:$BA64,8,FALSE)</f>
        <v>6</v>
      </c>
      <c r="BR62" s="16">
        <f>VLOOKUP($BO62,$AS61:$BA64,6,FALSE)</f>
        <v>9</v>
      </c>
      <c r="BS62" s="16">
        <f>IF(AND($BP61=$BP62,$BQ61=$BQ62,$BR62&gt;$BR61),$BO61,$BO62)</f>
        <v>0</v>
      </c>
      <c r="BT62" s="16">
        <f>VLOOKUP($BS62,$AS61:$BA64,9,FALSE)</f>
        <v>6</v>
      </c>
      <c r="BU62" s="16">
        <f>VLOOKUP($BS62,$AS61:$BA64,8,FALSE)</f>
        <v>6</v>
      </c>
      <c r="BV62" s="16">
        <f>VLOOKUP($BS62,$AS61:$BA64,6,FALSE)</f>
        <v>9</v>
      </c>
      <c r="BW62" s="16">
        <f>IF(AND($BT62=$BT64,$BU62=$BU64,$BV64&gt;$BV62),$BS64,$BS62)</f>
        <v>0</v>
      </c>
      <c r="BX62" s="16">
        <f>VLOOKUP($BW62,$AS61:$BA64,9,FALSE)</f>
        <v>6</v>
      </c>
      <c r="BY62" s="16">
        <f>VLOOKUP($BW62,$AS61:$BA64,8,FALSE)</f>
        <v>6</v>
      </c>
      <c r="BZ62" s="16">
        <f>VLOOKUP($BW62,$AS61:$BA64,6,FALSE)</f>
        <v>9</v>
      </c>
      <c r="CA62" s="16">
        <f>IF(AND($BX62=$BX63,$BY62=$BY63,$BZ63&gt;$BZ62),$BW63,$BW62)</f>
        <v>0</v>
      </c>
      <c r="CB62" s="16">
        <f>VLOOKUP($CA62,$AS61:$BA64,9,FALSE)</f>
        <v>6</v>
      </c>
      <c r="CC62" s="16">
        <f>VLOOKUP($CA62,$AS61:$BA64,8,FALSE)</f>
        <v>6</v>
      </c>
      <c r="CD62" s="16">
        <f>VLOOKUP($CA62,$AS61:$BA64,6,FALSE)</f>
        <v>9</v>
      </c>
      <c r="CH62" s="16">
        <f>CA62</f>
        <v>0</v>
      </c>
      <c r="CI62" s="16">
        <f>VLOOKUP($CH62,$AS61:$BA64,2,FALSE)</f>
        <v>3</v>
      </c>
      <c r="CJ62" s="16">
        <f>VLOOKUP($CH62,$AS61:$BA64,3,FALSE)</f>
        <v>2</v>
      </c>
      <c r="CK62" s="16">
        <f>VLOOKUP($CH62,$AS61:$BA64,4,FALSE)</f>
        <v>1</v>
      </c>
      <c r="CL62" s="16">
        <f>VLOOKUP($CH62,$AS61:$BA64,5,FALSE)</f>
        <v>0</v>
      </c>
      <c r="CM62" s="16">
        <f>VLOOKUP($CH62,$AS61:$BA64,6,FALSE)</f>
        <v>9</v>
      </c>
      <c r="CN62" s="16">
        <f>VLOOKUP($CH62,$AS61:$BA64,7,FALSE)</f>
        <v>3</v>
      </c>
      <c r="CO62" s="16">
        <f>VLOOKUP($CH62,$AS61:$BA64,8,FALSE)</f>
        <v>6</v>
      </c>
      <c r="CP62" s="16">
        <f>VLOOKUP($CH62,$AS61:$BA64,9,FALSE)</f>
        <v>6</v>
      </c>
      <c r="CR62" s="21" t="e">
        <f>#REF!</f>
        <v>#REF!</v>
      </c>
    </row>
    <row r="63" spans="1:96" ht="12.95" customHeight="1" thickBot="1" x14ac:dyDescent="0.25">
      <c r="A63" s="528">
        <f>A62</f>
        <v>0.52083333333333337</v>
      </c>
      <c r="B63" s="529"/>
      <c r="C63" s="272"/>
      <c r="D63" s="30" t="str">
        <f>AS57</f>
        <v>Sporting Almere</v>
      </c>
      <c r="E63" s="272" t="s">
        <v>16</v>
      </c>
      <c r="F63" s="529" t="str">
        <f>AS54</f>
        <v>Correctie veld 4</v>
      </c>
      <c r="G63" s="529"/>
      <c r="H63" s="529"/>
      <c r="I63" s="248">
        <f>EINDRONDE!O30</f>
        <v>0</v>
      </c>
      <c r="J63" s="247" t="s">
        <v>16</v>
      </c>
      <c r="K63" s="249">
        <f>EINDRONDE!Q30</f>
        <v>2</v>
      </c>
      <c r="L63" s="529"/>
      <c r="M63" s="529"/>
      <c r="N63" s="529"/>
      <c r="O63" s="529"/>
      <c r="P63" s="530"/>
      <c r="R63" s="528">
        <f>R62</f>
        <v>0.53125</v>
      </c>
      <c r="S63" s="529"/>
      <c r="T63" s="272"/>
      <c r="U63" s="30">
        <f>AS64</f>
        <v>0</v>
      </c>
      <c r="V63" s="272" t="s">
        <v>16</v>
      </c>
      <c r="W63" s="529" t="str">
        <f>AS61</f>
        <v>FC Isjeneefer</v>
      </c>
      <c r="X63" s="529"/>
      <c r="Y63" s="529"/>
      <c r="Z63" s="248">
        <f>EINDRONDE!O32</f>
        <v>1</v>
      </c>
      <c r="AA63" s="247" t="s">
        <v>16</v>
      </c>
      <c r="AB63" s="249">
        <f>EINDRONDE!Q32</f>
        <v>3</v>
      </c>
      <c r="AC63" s="529"/>
      <c r="AD63" s="529"/>
      <c r="AE63" s="529"/>
      <c r="AF63" s="529"/>
      <c r="AG63" s="530"/>
      <c r="AI63" s="240" t="str">
        <f>IF(G5=3,C5,"Winner A")</f>
        <v>De Torpedo's</v>
      </c>
      <c r="AJ63" s="240"/>
      <c r="AK63" s="236"/>
      <c r="AL63" s="82" t="str">
        <f>IF(X38=3,T38,"Runner-Up F")</f>
        <v>Runner-Up F</v>
      </c>
      <c r="AM63" s="47"/>
      <c r="AN63" s="41"/>
      <c r="AO63" s="41" t="str">
        <f>IF(AJ63&lt;&gt;"",IF(AJ63&gt;AK63,AI63,IF(AK63&gt;AJ63,AL63,"Draw")),"Second Rd 2")</f>
        <v>Second Rd 2</v>
      </c>
      <c r="AP63" s="41"/>
      <c r="AS63" s="16" t="str">
        <f>KWALIFICATIE!Z14</f>
        <v>Orion</v>
      </c>
      <c r="AT63" s="16">
        <f>COUNT(Russia_Played)</f>
        <v>3</v>
      </c>
      <c r="AU63" s="16">
        <f>COUNTIF(Groupstage_Winners,"Russia")</f>
        <v>1</v>
      </c>
      <c r="AV63" s="16">
        <f>COUNTIF(Groupstage_Losers,"Russia")</f>
        <v>2</v>
      </c>
      <c r="AW63" s="16">
        <f>AT63-(AU63+AV63)</f>
        <v>0</v>
      </c>
      <c r="AX63" s="16">
        <f>SUM(Russia_Played)</f>
        <v>2</v>
      </c>
      <c r="AY63" s="16">
        <f>SUM(Russia_Against)</f>
        <v>12</v>
      </c>
      <c r="AZ63" s="16">
        <f>AX63-AY63</f>
        <v>-10</v>
      </c>
      <c r="BA63" s="16">
        <f t="shared" si="27"/>
        <v>3</v>
      </c>
      <c r="BB63" s="16">
        <f>IF($BA63&gt;=$BA64,$AS63,$AS64)</f>
        <v>0</v>
      </c>
      <c r="BC63" s="16">
        <f>VLOOKUP($BB63,$AS61:$BA64,9,FALSE)</f>
        <v>6</v>
      </c>
      <c r="BD63" s="16">
        <f>IF($BC63&lt;=$BC61,$BB63,$BB61)</f>
        <v>0</v>
      </c>
      <c r="BE63" s="16">
        <f>VLOOKUP($BD63,$AS61:$BA64,9,FALSE)</f>
        <v>6</v>
      </c>
      <c r="BF63" s="16" t="str">
        <f>IF($BE63&lt;=$BE62,$BD63,$BD62)</f>
        <v>Kampongveldert</v>
      </c>
      <c r="BG63" s="16">
        <f>VLOOKUP($BF63,$AS61:$BA64,9,FALSE)</f>
        <v>3</v>
      </c>
      <c r="BH63" s="16">
        <f>VLOOKUP($BF63,$AS61:$BA64,8,FALSE)</f>
        <v>-4</v>
      </c>
      <c r="BI63" s="16" t="str">
        <f>IF(AND($BG63=$BG64,$BH64&gt;$BH63),$BF64,$BF63)</f>
        <v>Kampongveldert</v>
      </c>
      <c r="BJ63" s="16">
        <f>VLOOKUP($BI63,$AS61:$BA64,9,FALSE)</f>
        <v>3</v>
      </c>
      <c r="BK63" s="16">
        <f>VLOOKUP($BI63,$AS61:$BA64,8,FALSE)</f>
        <v>-4</v>
      </c>
      <c r="BL63" s="16" t="str">
        <f>IF(AND($BJ61=$BJ63,$BK63&gt;$BK61),$BI61,$BI63)</f>
        <v>Kampongveldert</v>
      </c>
      <c r="BM63" s="16">
        <f>VLOOKUP($BL63,$AS61:$BA64,9,FALSE)</f>
        <v>3</v>
      </c>
      <c r="BN63" s="16">
        <f>VLOOKUP($BL63,$AS61:$BA64,8,FALSE)</f>
        <v>-4</v>
      </c>
      <c r="BO63" s="16" t="str">
        <f>IF(AND($BM62=$BM63,$BN63&gt;$BN62),$BL62,$BL63)</f>
        <v>Kampongveldert</v>
      </c>
      <c r="BP63" s="16">
        <f>VLOOKUP($BO63,$AS61:$BA64,9,FALSE)</f>
        <v>3</v>
      </c>
      <c r="BQ63" s="16">
        <f>VLOOKUP($BO63,$AS61:$BA64,8,FALSE)</f>
        <v>-4</v>
      </c>
      <c r="BR63" s="16">
        <f>VLOOKUP($BO63,$AS61:$BA64,6,FALSE)</f>
        <v>2</v>
      </c>
      <c r="BS63" s="16" t="str">
        <f>IF(AND($BP63=$BP64,$BQ63=$BQ64,$BR64&gt;$BR63),$BO64,$BO63)</f>
        <v>Kampongveldert</v>
      </c>
      <c r="BT63" s="16">
        <f>VLOOKUP($BS63,$AS61:$BA64,9,FALSE)</f>
        <v>3</v>
      </c>
      <c r="BU63" s="16">
        <f>VLOOKUP($BS63,$AS61:$BA64,8,FALSE)</f>
        <v>-4</v>
      </c>
      <c r="BV63" s="16">
        <f>VLOOKUP($BS63,$AS61:$BA64,6,FALSE)</f>
        <v>2</v>
      </c>
      <c r="BW63" s="16" t="str">
        <f>IF(AND($BT61=$BT63,$BU61=$BU63,$BV62&gt;$BV61),$BS61,$BS63)</f>
        <v>Kampongveldert</v>
      </c>
      <c r="BX63" s="16">
        <f>VLOOKUP($BW63,$AS61:$BA64,9,FALSE)</f>
        <v>3</v>
      </c>
      <c r="BY63" s="16">
        <f>VLOOKUP($BW63,$AS61:$BA64,8,FALSE)</f>
        <v>-4</v>
      </c>
      <c r="BZ63" s="16">
        <f>VLOOKUP($BW63,$AS61:$BA64,6,FALSE)</f>
        <v>2</v>
      </c>
      <c r="CA63" s="16" t="str">
        <f>IF(AND($BX62=$BX63,$BY62=$BY63,$BZ63&gt;$BZ62),$BW62,$BW63)</f>
        <v>Kampongveldert</v>
      </c>
      <c r="CB63" s="16">
        <f>VLOOKUP($CA63,$AS61:$BA64,9,FALSE)</f>
        <v>3</v>
      </c>
      <c r="CC63" s="16">
        <f>VLOOKUP($CA63,$AS61:$BA64,8,FALSE)</f>
        <v>-4</v>
      </c>
      <c r="CD63" s="16">
        <f>VLOOKUP($CA63,$AS61:$BA64,6,FALSE)</f>
        <v>2</v>
      </c>
      <c r="CH63" s="16" t="str">
        <f>CA63</f>
        <v>Kampongveldert</v>
      </c>
      <c r="CI63" s="16">
        <f>VLOOKUP($CH63,$AS61:$BA64,2,FALSE)</f>
        <v>3</v>
      </c>
      <c r="CJ63" s="16">
        <f>VLOOKUP($CH63,$AS61:$BA64,3,FALSE)</f>
        <v>1</v>
      </c>
      <c r="CK63" s="16">
        <f>VLOOKUP($CH63,$AS61:$BA64,4,FALSE)</f>
        <v>2</v>
      </c>
      <c r="CL63" s="16">
        <f>VLOOKUP($CH63,$AS61:$BA64,5,FALSE)</f>
        <v>0</v>
      </c>
      <c r="CM63" s="16">
        <f>VLOOKUP($CH63,$AS61:$BA64,6,FALSE)</f>
        <v>2</v>
      </c>
      <c r="CN63" s="16">
        <f>VLOOKUP($CH63,$AS61:$BA64,7,FALSE)</f>
        <v>6</v>
      </c>
      <c r="CO63" s="16">
        <f>VLOOKUP($CH63,$AS61:$BA64,8,FALSE)</f>
        <v>-4</v>
      </c>
      <c r="CP63" s="16">
        <f>VLOOKUP($CH63,$AS61:$BA64,9,FALSE)</f>
        <v>3</v>
      </c>
      <c r="CR63" s="21" t="e">
        <f>#REF!</f>
        <v>#REF!</v>
      </c>
    </row>
    <row r="64" spans="1:96" ht="13.5" thickBot="1" x14ac:dyDescent="0.25"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AI64" s="240" t="str">
        <f>IF(X37=3,T37,"Winner F")</f>
        <v>Winner F</v>
      </c>
      <c r="AJ64" s="240"/>
      <c r="AK64" s="236"/>
      <c r="AL64" s="82" t="str">
        <f>IF(G6=3,C6,"Runner-Up A")</f>
        <v>AccentSport Rakkers</v>
      </c>
      <c r="AN64" s="41"/>
      <c r="AO64" s="41" t="str">
        <f>IF(AJ64&lt;&gt;"",IF(AJ64&gt;AK64,AI64,IF(AK64&gt;AJ64,AL64,"Draw")),"Second Rd 3")</f>
        <v>Second Rd 3</v>
      </c>
      <c r="AP64" s="41"/>
      <c r="AS64" s="16">
        <f>KWALIFICATIE!Z16</f>
        <v>0</v>
      </c>
      <c r="AT64" s="16">
        <f>COUNT(Tunisia_Played)</f>
        <v>3</v>
      </c>
      <c r="AU64" s="16">
        <f>COUNTIF(Groupstage_Winners,"Tunisia")</f>
        <v>2</v>
      </c>
      <c r="AV64" s="16">
        <f>COUNTIF(Groupstage_Losers,"Tunisia")</f>
        <v>1</v>
      </c>
      <c r="AW64" s="16">
        <f>AT64-(AU64+AV64)</f>
        <v>0</v>
      </c>
      <c r="AX64" s="16">
        <f>SUM(Tunisia_Played)</f>
        <v>9</v>
      </c>
      <c r="AY64" s="16">
        <f>SUM(Tunisia_Against)</f>
        <v>3</v>
      </c>
      <c r="AZ64" s="16">
        <f>AX64-AY64</f>
        <v>6</v>
      </c>
      <c r="BA64" s="16">
        <f t="shared" si="27"/>
        <v>6</v>
      </c>
      <c r="BB64" s="16" t="str">
        <f>IF($BA64&lt;=$BA63,$AS64,$AS63)</f>
        <v>Orion</v>
      </c>
      <c r="BC64" s="16">
        <f>VLOOKUP($BB64,$AS61:$BA64,9,FALSE)</f>
        <v>3</v>
      </c>
      <c r="BD64" s="16" t="str">
        <f>IF(BC64&lt;=BC62,BB64,BB62)</f>
        <v>Orion</v>
      </c>
      <c r="BE64" s="16">
        <f>VLOOKUP($BD64,$AS61:$BA64,9,FALSE)</f>
        <v>3</v>
      </c>
      <c r="BF64" s="16" t="str">
        <f>IF($BE64&lt;=$BE61,$BD64,$BD61)</f>
        <v>Orion</v>
      </c>
      <c r="BG64" s="16">
        <f>VLOOKUP($BF64,$AS61:$BA64,9,FALSE)</f>
        <v>3</v>
      </c>
      <c r="BH64" s="16">
        <f>VLOOKUP($BF64,$AS61:$BA64,8,FALSE)</f>
        <v>-10</v>
      </c>
      <c r="BI64" s="16" t="str">
        <f>IF(AND($BG63=$BG64,$BH64&gt;$BH63),$BF63,$BF64)</f>
        <v>Orion</v>
      </c>
      <c r="BJ64" s="16">
        <f>VLOOKUP($BI64,$AS61:$BA64,9,FALSE)</f>
        <v>3</v>
      </c>
      <c r="BK64" s="16">
        <f>VLOOKUP($BI64,$AS61:$BA64,8,FALSE)</f>
        <v>-10</v>
      </c>
      <c r="BL64" s="16" t="str">
        <f>IF(AND($BJ62=$BJ64,$BK64&gt;$BK62),$BI62,$BI64)</f>
        <v>Orion</v>
      </c>
      <c r="BM64" s="16">
        <f>VLOOKUP($BL64,$AS61:$BA64,9,FALSE)</f>
        <v>3</v>
      </c>
      <c r="BN64" s="16">
        <f>VLOOKUP($BL64,$AS61:$BA64,8,FALSE)</f>
        <v>-10</v>
      </c>
      <c r="BO64" s="16" t="str">
        <f>IF(AND($BM61=$BM64,$BN64&gt;$BN61),$BL61,$BL64)</f>
        <v>Orion</v>
      </c>
      <c r="BP64" s="16">
        <f>VLOOKUP($BO64,$AS61:$BA64,9,FALSE)</f>
        <v>3</v>
      </c>
      <c r="BQ64" s="16">
        <f>VLOOKUP($BO64,$AS61:$BA64,8,FALSE)</f>
        <v>-10</v>
      </c>
      <c r="BR64" s="16">
        <f>VLOOKUP($BO64,$AS61:$BA64,6,FALSE)</f>
        <v>2</v>
      </c>
      <c r="BS64" s="16" t="str">
        <f>IF(AND($BP63=$BP64,$BQ63=$BQ64,$BR64&gt;$BR63),$BO63,$BO64)</f>
        <v>Orion</v>
      </c>
      <c r="BT64" s="16">
        <f>VLOOKUP($BS64,$AS61:$BA64,9,FALSE)</f>
        <v>3</v>
      </c>
      <c r="BU64" s="16">
        <f>VLOOKUP($BS64,$AS61:$BA64,8,FALSE)</f>
        <v>-10</v>
      </c>
      <c r="BV64" s="16">
        <f>VLOOKUP($BS64,$AS61:$BA64,6,FALSE)</f>
        <v>2</v>
      </c>
      <c r="BW64" s="16" t="str">
        <f>IF(AND($BT62=$BT64,$BU62=$BU64,$BV64&gt;$BV62),$BS62,$BS64)</f>
        <v>Orion</v>
      </c>
      <c r="BX64" s="16">
        <f>VLOOKUP($BW64,$AS61:$BA64,9,FALSE)</f>
        <v>3</v>
      </c>
      <c r="BY64" s="16">
        <f>VLOOKUP($BW64,$AS61:$BA64,8,FALSE)</f>
        <v>-10</v>
      </c>
      <c r="BZ64" s="16">
        <f>VLOOKUP($BW64,$AS61:$BA64,6,FALSE)</f>
        <v>2</v>
      </c>
      <c r="CA64" s="16" t="str">
        <f>IF(AND($BX61=$BX64,$BY61=$BY64,$BZ64&gt;$BZ61),$BW61,$BW64)</f>
        <v>Orion</v>
      </c>
      <c r="CB64" s="16">
        <f>VLOOKUP($CA64,$AS61:$BA64,9,FALSE)</f>
        <v>3</v>
      </c>
      <c r="CC64" s="16">
        <f>VLOOKUP($CA64,$AS61:$BA64,8,FALSE)</f>
        <v>-10</v>
      </c>
      <c r="CD64" s="16">
        <f>VLOOKUP($CA64,$AS61:$BA64,6,FALSE)</f>
        <v>2</v>
      </c>
      <c r="CH64" s="16" t="str">
        <f>CA64</f>
        <v>Orion</v>
      </c>
      <c r="CI64" s="16">
        <f>VLOOKUP($CH64,$AS61:$BA64,2,FALSE)</f>
        <v>3</v>
      </c>
      <c r="CJ64" s="16">
        <f>VLOOKUP($CH64,$AS61:$BA64,3,FALSE)</f>
        <v>1</v>
      </c>
      <c r="CK64" s="16">
        <f>VLOOKUP($CH64,$AS61:$BA64,4,FALSE)</f>
        <v>2</v>
      </c>
      <c r="CL64" s="16">
        <f>VLOOKUP($CH64,$AS61:$BA64,5,FALSE)</f>
        <v>0</v>
      </c>
      <c r="CM64" s="16">
        <f>VLOOKUP($CH64,$AS61:$BA64,6,FALSE)</f>
        <v>2</v>
      </c>
      <c r="CN64" s="16">
        <f>VLOOKUP($CH64,$AS61:$BA64,7,FALSE)</f>
        <v>12</v>
      </c>
      <c r="CO64" s="16">
        <f>VLOOKUP($CH64,$AS61:$BA64,8,FALSE)</f>
        <v>-10</v>
      </c>
      <c r="CP64" s="16">
        <f>VLOOKUP($CH64,$AS61:$BA64,9,FALSE)</f>
        <v>3</v>
      </c>
      <c r="CR64" s="21" t="e">
        <f>#REF!</f>
        <v>#REF!</v>
      </c>
    </row>
    <row r="65" spans="1:96" ht="18.75" thickBot="1" x14ac:dyDescent="0.3">
      <c r="A65" s="538"/>
      <c r="B65" s="538"/>
      <c r="C65" s="538"/>
      <c r="D65" s="538"/>
      <c r="E65" s="538"/>
      <c r="F65" s="538"/>
      <c r="G65" s="538"/>
      <c r="H65" s="538"/>
      <c r="I65" s="538"/>
      <c r="J65" s="538"/>
      <c r="K65" s="538"/>
      <c r="L65" s="538"/>
      <c r="M65" s="538"/>
      <c r="N65" s="538"/>
      <c r="O65" s="538"/>
      <c r="P65" s="538"/>
      <c r="R65" s="538"/>
      <c r="S65" s="538"/>
      <c r="T65" s="538"/>
      <c r="U65" s="538"/>
      <c r="V65" s="538"/>
      <c r="W65" s="538"/>
      <c r="X65" s="538"/>
      <c r="Y65" s="538"/>
      <c r="Z65" s="538"/>
      <c r="AA65" s="538"/>
      <c r="AB65" s="538"/>
      <c r="AC65" s="538"/>
      <c r="AD65" s="538"/>
      <c r="AE65" s="538"/>
      <c r="AF65" s="538"/>
      <c r="AG65" s="538"/>
      <c r="AI65" s="240" t="str">
        <f>IF(X5=3,T5,"Winner B")</f>
        <v>De Doofpot</v>
      </c>
      <c r="AJ65" s="240"/>
      <c r="AK65" s="236"/>
      <c r="AL65" s="82" t="str">
        <f>IF(G38=3,C38,"Runner-Up E")</f>
        <v>Monnie Represent</v>
      </c>
      <c r="AN65" s="41"/>
      <c r="AO65" s="41" t="str">
        <f>IF(AJ65&lt;&gt;"",IF(AJ65&gt;AK65,AI65,IF(AK65&gt;AJ65,AL65,"Draw")),"Second Rd 4")</f>
        <v>Second Rd 4</v>
      </c>
      <c r="AP65" s="41"/>
      <c r="CR65" s="21" t="e">
        <f>#REF!</f>
        <v>#REF!</v>
      </c>
    </row>
    <row r="66" spans="1:96" x14ac:dyDescent="0.2">
      <c r="B66" s="24"/>
      <c r="C66" s="24"/>
      <c r="D66" s="24"/>
      <c r="E66" s="24"/>
      <c r="F66" s="24"/>
      <c r="G66" s="338"/>
      <c r="H66" s="338"/>
      <c r="I66" s="338"/>
      <c r="J66" s="522"/>
      <c r="K66" s="522"/>
      <c r="L66" s="522"/>
      <c r="M66" s="522"/>
      <c r="N66" s="522"/>
      <c r="O66" s="338"/>
      <c r="P66" s="338"/>
      <c r="X66" s="338"/>
      <c r="Y66" s="338"/>
      <c r="Z66" s="338"/>
      <c r="AA66" s="522"/>
      <c r="AB66" s="522"/>
      <c r="AC66" s="522"/>
      <c r="AD66" s="522"/>
      <c r="AE66" s="522"/>
      <c r="AF66" s="338"/>
      <c r="AG66" s="338"/>
      <c r="CR66" s="21" t="e">
        <f>#REF!</f>
        <v>#REF!</v>
      </c>
    </row>
    <row r="67" spans="1:96" x14ac:dyDescent="0.2">
      <c r="A67" s="522"/>
      <c r="B67" s="522"/>
      <c r="C67" s="34"/>
      <c r="D67" s="24"/>
      <c r="E67" s="24"/>
      <c r="F67" s="24"/>
      <c r="G67" s="341"/>
      <c r="H67" s="341"/>
      <c r="I67" s="283"/>
      <c r="J67" s="539"/>
      <c r="K67" s="539"/>
      <c r="L67" s="33"/>
      <c r="M67" s="39"/>
      <c r="N67" s="40"/>
      <c r="O67" s="341"/>
      <c r="P67" s="283"/>
      <c r="R67" s="522"/>
      <c r="S67" s="522"/>
      <c r="T67" s="34"/>
      <c r="X67" s="341"/>
      <c r="Y67" s="341"/>
      <c r="Z67" s="283"/>
      <c r="AA67" s="539"/>
      <c r="AB67" s="539"/>
      <c r="AC67" s="33"/>
      <c r="AD67" s="283"/>
      <c r="AE67" s="40"/>
      <c r="AF67" s="341"/>
      <c r="AG67" s="283"/>
      <c r="AK67" s="181"/>
      <c r="AL67" s="181"/>
      <c r="CR67" s="21" t="e">
        <f>#REF!</f>
        <v>#REF!</v>
      </c>
    </row>
    <row r="68" spans="1:96" x14ac:dyDescent="0.2">
      <c r="A68" s="522"/>
      <c r="B68" s="522"/>
      <c r="C68" s="34"/>
      <c r="D68" s="24"/>
      <c r="E68" s="24"/>
      <c r="F68" s="24"/>
      <c r="G68" s="341"/>
      <c r="H68" s="341"/>
      <c r="I68" s="283"/>
      <c r="J68" s="539"/>
      <c r="K68" s="539"/>
      <c r="L68" s="33"/>
      <c r="M68" s="39"/>
      <c r="N68" s="40"/>
      <c r="O68" s="341"/>
      <c r="P68" s="283"/>
      <c r="R68" s="522"/>
      <c r="S68" s="522"/>
      <c r="T68" s="34"/>
      <c r="X68" s="341"/>
      <c r="Y68" s="341"/>
      <c r="Z68" s="283"/>
      <c r="AA68" s="539"/>
      <c r="AB68" s="539"/>
      <c r="AC68" s="33"/>
      <c r="AD68" s="283"/>
      <c r="AE68" s="40"/>
      <c r="AF68" s="341"/>
      <c r="AG68" s="283"/>
      <c r="AK68" s="181"/>
      <c r="AL68" s="181"/>
      <c r="CR68" s="21"/>
    </row>
    <row r="69" spans="1:96" x14ac:dyDescent="0.2">
      <c r="A69" s="522"/>
      <c r="B69" s="522"/>
      <c r="C69" s="34"/>
      <c r="D69" s="24"/>
      <c r="E69" s="24"/>
      <c r="F69" s="24"/>
      <c r="G69" s="341"/>
      <c r="H69" s="341"/>
      <c r="I69" s="283"/>
      <c r="J69" s="539"/>
      <c r="K69" s="539"/>
      <c r="L69" s="33"/>
      <c r="M69" s="39"/>
      <c r="N69" s="40"/>
      <c r="O69" s="341"/>
      <c r="P69" s="283"/>
      <c r="R69" s="522"/>
      <c r="S69" s="522"/>
      <c r="T69" s="34"/>
      <c r="X69" s="341"/>
      <c r="Y69" s="341"/>
      <c r="Z69" s="283"/>
      <c r="AA69" s="539"/>
      <c r="AB69" s="539"/>
      <c r="AC69" s="33"/>
      <c r="AD69" s="283"/>
      <c r="AE69" s="40"/>
      <c r="AF69" s="341"/>
      <c r="AG69" s="283"/>
      <c r="AJ69" s="70"/>
      <c r="AK69" s="73"/>
      <c r="AL69" s="181"/>
      <c r="CR69" s="21"/>
    </row>
    <row r="70" spans="1:96" x14ac:dyDescent="0.2">
      <c r="A70" s="522"/>
      <c r="B70" s="522"/>
      <c r="C70" s="34"/>
      <c r="D70" s="24"/>
      <c r="E70" s="24"/>
      <c r="F70" s="24"/>
      <c r="G70" s="341"/>
      <c r="H70" s="341"/>
      <c r="I70" s="283"/>
      <c r="J70" s="539"/>
      <c r="K70" s="539"/>
      <c r="L70" s="33"/>
      <c r="M70" s="39"/>
      <c r="N70" s="40"/>
      <c r="O70" s="341"/>
      <c r="P70" s="283"/>
      <c r="R70" s="522"/>
      <c r="S70" s="522"/>
      <c r="T70" s="34"/>
      <c r="X70" s="341"/>
      <c r="Y70" s="341"/>
      <c r="Z70" s="283"/>
      <c r="AA70" s="539"/>
      <c r="AB70" s="539"/>
      <c r="AC70" s="33"/>
      <c r="AD70" s="283"/>
      <c r="AE70" s="40"/>
      <c r="AF70" s="341"/>
      <c r="AG70" s="283"/>
      <c r="AJ70" s="70"/>
      <c r="AK70" s="73"/>
      <c r="AL70" s="181"/>
      <c r="CR70" s="21"/>
    </row>
    <row r="71" spans="1:96" x14ac:dyDescent="0.2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AJ71" s="70"/>
      <c r="AK71" s="73"/>
      <c r="AL71" s="181"/>
      <c r="CR71" s="21"/>
    </row>
    <row r="72" spans="1:96" x14ac:dyDescent="0.2">
      <c r="A72" s="339"/>
      <c r="B72" s="339"/>
      <c r="C72" s="339"/>
      <c r="D72" s="124"/>
      <c r="E72" s="124"/>
      <c r="F72" s="124"/>
      <c r="G72" s="124"/>
      <c r="H72" s="124"/>
      <c r="I72" s="515"/>
      <c r="J72" s="515"/>
      <c r="K72" s="515"/>
      <c r="L72" s="526"/>
      <c r="M72" s="526"/>
      <c r="N72" s="526"/>
      <c r="O72" s="526"/>
      <c r="P72" s="526"/>
      <c r="R72" s="339"/>
      <c r="S72" s="339"/>
      <c r="T72" s="339"/>
      <c r="U72" s="124"/>
      <c r="V72" s="124"/>
      <c r="W72" s="124"/>
      <c r="X72" s="124"/>
      <c r="Y72" s="124"/>
      <c r="Z72" s="515"/>
      <c r="AA72" s="515"/>
      <c r="AB72" s="515"/>
      <c r="AC72" s="526"/>
      <c r="AD72" s="526"/>
      <c r="AE72" s="526"/>
      <c r="AF72" s="526"/>
      <c r="AG72" s="526"/>
      <c r="AJ72" s="70"/>
      <c r="AK72" s="73"/>
      <c r="AL72" s="181"/>
      <c r="CR72" s="21"/>
    </row>
    <row r="73" spans="1:96" x14ac:dyDescent="0.2">
      <c r="A73" s="540"/>
      <c r="B73" s="518"/>
      <c r="C73" s="283"/>
      <c r="D73" s="337"/>
      <c r="E73" s="283"/>
      <c r="F73" s="518"/>
      <c r="G73" s="518"/>
      <c r="H73" s="518"/>
      <c r="I73" s="27"/>
      <c r="J73" s="283"/>
      <c r="K73" s="129"/>
      <c r="L73" s="518"/>
      <c r="M73" s="518"/>
      <c r="N73" s="518"/>
      <c r="O73" s="518"/>
      <c r="P73" s="518"/>
      <c r="R73" s="540"/>
      <c r="S73" s="518"/>
      <c r="T73" s="283"/>
      <c r="U73" s="337"/>
      <c r="V73" s="283"/>
      <c r="W73" s="518"/>
      <c r="X73" s="518"/>
      <c r="Y73" s="518"/>
      <c r="Z73" s="27"/>
      <c r="AA73" s="283"/>
      <c r="AB73" s="129"/>
      <c r="AC73" s="518"/>
      <c r="AD73" s="518"/>
      <c r="AE73" s="518"/>
      <c r="AF73" s="518"/>
      <c r="AG73" s="518"/>
      <c r="AJ73" s="70"/>
      <c r="AK73" s="73"/>
      <c r="AL73" s="181"/>
      <c r="CR73" s="21"/>
    </row>
    <row r="74" spans="1:96" x14ac:dyDescent="0.2">
      <c r="A74" s="540"/>
      <c r="B74" s="518"/>
      <c r="C74" s="283"/>
      <c r="D74" s="24"/>
      <c r="E74" s="283"/>
      <c r="F74" s="518"/>
      <c r="G74" s="518"/>
      <c r="H74" s="518"/>
      <c r="I74" s="27"/>
      <c r="J74" s="283"/>
      <c r="K74" s="129"/>
      <c r="L74" s="518"/>
      <c r="M74" s="518"/>
      <c r="N74" s="518"/>
      <c r="O74" s="518"/>
      <c r="P74" s="518"/>
      <c r="R74" s="540"/>
      <c r="S74" s="518"/>
      <c r="T74" s="283"/>
      <c r="V74" s="283"/>
      <c r="W74" s="518"/>
      <c r="X74" s="518"/>
      <c r="Y74" s="518"/>
      <c r="Z74" s="27"/>
      <c r="AA74" s="283"/>
      <c r="AB74" s="129"/>
      <c r="AC74" s="518"/>
      <c r="AD74" s="518"/>
      <c r="AE74" s="518"/>
      <c r="AF74" s="518"/>
      <c r="AG74" s="518"/>
      <c r="AJ74" s="70"/>
      <c r="AK74" s="73"/>
      <c r="AL74" s="181"/>
      <c r="CR74" s="21"/>
    </row>
    <row r="75" spans="1:96" x14ac:dyDescent="0.2">
      <c r="A75" s="540"/>
      <c r="B75" s="518"/>
      <c r="C75" s="283"/>
      <c r="D75" s="24"/>
      <c r="E75" s="283"/>
      <c r="F75" s="518"/>
      <c r="G75" s="518"/>
      <c r="H75" s="518"/>
      <c r="I75" s="27"/>
      <c r="J75" s="283"/>
      <c r="K75" s="129"/>
      <c r="L75" s="518"/>
      <c r="M75" s="518"/>
      <c r="N75" s="518"/>
      <c r="O75" s="518"/>
      <c r="P75" s="518"/>
      <c r="R75" s="540"/>
      <c r="S75" s="518"/>
      <c r="T75" s="283"/>
      <c r="V75" s="283"/>
      <c r="W75" s="518"/>
      <c r="X75" s="518"/>
      <c r="Y75" s="518"/>
      <c r="Z75" s="27"/>
      <c r="AA75" s="283"/>
      <c r="AB75" s="129"/>
      <c r="AC75" s="518"/>
      <c r="AD75" s="518"/>
      <c r="AE75" s="518"/>
      <c r="AF75" s="518"/>
      <c r="AG75" s="518"/>
      <c r="AJ75" s="70"/>
      <c r="AK75" s="73"/>
      <c r="AL75" s="181"/>
      <c r="CR75" s="21"/>
    </row>
    <row r="76" spans="1:96" x14ac:dyDescent="0.2">
      <c r="A76" s="540"/>
      <c r="B76" s="518"/>
      <c r="C76" s="283"/>
      <c r="D76" s="24"/>
      <c r="E76" s="283"/>
      <c r="F76" s="518"/>
      <c r="G76" s="518"/>
      <c r="H76" s="518"/>
      <c r="I76" s="27"/>
      <c r="J76" s="283"/>
      <c r="K76" s="129"/>
      <c r="L76" s="518"/>
      <c r="M76" s="518"/>
      <c r="N76" s="518"/>
      <c r="O76" s="518"/>
      <c r="P76" s="518"/>
      <c r="R76" s="540"/>
      <c r="S76" s="518"/>
      <c r="T76" s="283"/>
      <c r="V76" s="283"/>
      <c r="W76" s="518"/>
      <c r="X76" s="518"/>
      <c r="Y76" s="518"/>
      <c r="Z76" s="27"/>
      <c r="AA76" s="283"/>
      <c r="AB76" s="129"/>
      <c r="AC76" s="518"/>
      <c r="AD76" s="518"/>
      <c r="AE76" s="518"/>
      <c r="AF76" s="518"/>
      <c r="AG76" s="518"/>
      <c r="AJ76" s="70"/>
      <c r="AK76" s="73"/>
      <c r="AL76" s="181"/>
      <c r="CR76" s="21"/>
    </row>
    <row r="77" spans="1:96" x14ac:dyDescent="0.2">
      <c r="A77" s="540"/>
      <c r="B77" s="518"/>
      <c r="C77" s="283"/>
      <c r="D77" s="24"/>
      <c r="E77" s="283"/>
      <c r="F77" s="518"/>
      <c r="G77" s="518"/>
      <c r="H77" s="518"/>
      <c r="I77" s="27"/>
      <c r="J77" s="283"/>
      <c r="K77" s="129"/>
      <c r="L77" s="518"/>
      <c r="M77" s="518"/>
      <c r="N77" s="518"/>
      <c r="O77" s="518"/>
      <c r="P77" s="518"/>
      <c r="R77" s="540"/>
      <c r="S77" s="518"/>
      <c r="T77" s="283"/>
      <c r="V77" s="283"/>
      <c r="W77" s="518"/>
      <c r="X77" s="518"/>
      <c r="Y77" s="518"/>
      <c r="Z77" s="27"/>
      <c r="AA77" s="283"/>
      <c r="AB77" s="129"/>
      <c r="AC77" s="518"/>
      <c r="AD77" s="518"/>
      <c r="AE77" s="518"/>
      <c r="AF77" s="518"/>
      <c r="AG77" s="518"/>
      <c r="AJ77" s="70"/>
      <c r="AK77" s="73"/>
      <c r="AL77" s="181"/>
      <c r="CR77" s="21"/>
    </row>
    <row r="78" spans="1:96" x14ac:dyDescent="0.2">
      <c r="A78" s="540"/>
      <c r="B78" s="518"/>
      <c r="C78" s="283"/>
      <c r="D78" s="24"/>
      <c r="E78" s="283"/>
      <c r="F78" s="518"/>
      <c r="G78" s="518"/>
      <c r="H78" s="518"/>
      <c r="I78" s="27"/>
      <c r="J78" s="283"/>
      <c r="K78" s="129"/>
      <c r="L78" s="518"/>
      <c r="M78" s="518"/>
      <c r="N78" s="518"/>
      <c r="O78" s="518"/>
      <c r="P78" s="518"/>
      <c r="R78" s="540"/>
      <c r="S78" s="518"/>
      <c r="T78" s="283"/>
      <c r="V78" s="283"/>
      <c r="W78" s="518"/>
      <c r="X78" s="518"/>
      <c r="Y78" s="518"/>
      <c r="Z78" s="27"/>
      <c r="AA78" s="283"/>
      <c r="AB78" s="129"/>
      <c r="AC78" s="518"/>
      <c r="AD78" s="518"/>
      <c r="AE78" s="518"/>
      <c r="AF78" s="518"/>
      <c r="AG78" s="518"/>
      <c r="AJ78" s="70"/>
      <c r="AK78" s="73"/>
      <c r="AL78" s="181"/>
      <c r="CR78" s="21"/>
    </row>
    <row r="79" spans="1:96" x14ac:dyDescent="0.2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AJ79" s="70"/>
      <c r="AK79" s="73"/>
      <c r="AL79" s="181"/>
      <c r="CR79" s="21"/>
    </row>
    <row r="80" spans="1:96" x14ac:dyDescent="0.2"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AJ80" s="70"/>
      <c r="AK80" s="73"/>
      <c r="AL80" s="181"/>
      <c r="CR80" s="21"/>
    </row>
    <row r="81" spans="2:96" x14ac:dyDescent="0.2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AK81" s="181"/>
      <c r="AL81" s="181"/>
      <c r="CR81" s="21"/>
    </row>
    <row r="82" spans="2:96" x14ac:dyDescent="0.2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AK82" s="181"/>
      <c r="AL82" s="181"/>
      <c r="CR82" s="21"/>
    </row>
    <row r="83" spans="2:96" x14ac:dyDescent="0.2">
      <c r="AK83" s="181"/>
      <c r="AL83" s="181"/>
      <c r="CR83" s="21"/>
    </row>
    <row r="84" spans="2:96" x14ac:dyDescent="0.2">
      <c r="CR84" s="21"/>
    </row>
    <row r="85" spans="2:96" x14ac:dyDescent="0.2">
      <c r="CR85" s="21"/>
    </row>
    <row r="86" spans="2:96" x14ac:dyDescent="0.2">
      <c r="CR86" s="21"/>
    </row>
    <row r="87" spans="2:96" x14ac:dyDescent="0.2">
      <c r="CR87" s="21"/>
    </row>
    <row r="88" spans="2:96" x14ac:dyDescent="0.2">
      <c r="CR88" s="21"/>
    </row>
    <row r="89" spans="2:96" x14ac:dyDescent="0.2">
      <c r="CR89" s="21"/>
    </row>
    <row r="90" spans="2:96" x14ac:dyDescent="0.2">
      <c r="CR90" s="21"/>
    </row>
    <row r="91" spans="2:96" x14ac:dyDescent="0.2">
      <c r="CR91" s="21"/>
    </row>
    <row r="92" spans="2:96" x14ac:dyDescent="0.2">
      <c r="CR92" s="21"/>
    </row>
    <row r="93" spans="2:96" x14ac:dyDescent="0.2">
      <c r="CR93" s="21"/>
    </row>
    <row r="94" spans="2:96" x14ac:dyDescent="0.2">
      <c r="CR94" s="21"/>
    </row>
    <row r="95" spans="2:96" x14ac:dyDescent="0.2">
      <c r="CR95" s="21"/>
    </row>
    <row r="96" spans="2:96" x14ac:dyDescent="0.2">
      <c r="CR96" s="21"/>
    </row>
    <row r="97" spans="96:96" x14ac:dyDescent="0.2">
      <c r="CR97" s="21"/>
    </row>
    <row r="98" spans="96:96" x14ac:dyDescent="0.2">
      <c r="CR98" s="21"/>
    </row>
    <row r="99" spans="96:96" x14ac:dyDescent="0.2">
      <c r="CR99" s="21"/>
    </row>
    <row r="100" spans="96:96" x14ac:dyDescent="0.2">
      <c r="CR100" s="21"/>
    </row>
    <row r="101" spans="96:96" x14ac:dyDescent="0.2">
      <c r="CR101" s="21"/>
    </row>
    <row r="102" spans="96:96" x14ac:dyDescent="0.2">
      <c r="CR102" s="21"/>
    </row>
    <row r="103" spans="96:96" x14ac:dyDescent="0.2">
      <c r="CR103" s="21"/>
    </row>
    <row r="104" spans="96:96" x14ac:dyDescent="0.2">
      <c r="CR104" s="21"/>
    </row>
    <row r="105" spans="96:96" x14ac:dyDescent="0.2">
      <c r="CR105" s="21"/>
    </row>
    <row r="106" spans="96:96" x14ac:dyDescent="0.2">
      <c r="CR106" s="21"/>
    </row>
    <row r="107" spans="96:96" x14ac:dyDescent="0.2">
      <c r="CR107" s="21"/>
    </row>
    <row r="108" spans="96:96" x14ac:dyDescent="0.2">
      <c r="CR108" s="21"/>
    </row>
    <row r="109" spans="96:96" x14ac:dyDescent="0.2">
      <c r="CR109" s="21"/>
    </row>
    <row r="110" spans="96:96" x14ac:dyDescent="0.2">
      <c r="CR110" s="21"/>
    </row>
    <row r="111" spans="96:96" x14ac:dyDescent="0.2">
      <c r="CR111" s="21"/>
    </row>
    <row r="112" spans="96:96" x14ac:dyDescent="0.2">
      <c r="CR112" s="21"/>
    </row>
    <row r="113" spans="96:96" x14ac:dyDescent="0.2">
      <c r="CR113" s="21"/>
    </row>
    <row r="114" spans="96:96" x14ac:dyDescent="0.2">
      <c r="CR114" s="21"/>
    </row>
    <row r="115" spans="96:96" x14ac:dyDescent="0.2">
      <c r="CR115" s="21"/>
    </row>
    <row r="116" spans="96:96" x14ac:dyDescent="0.2">
      <c r="CR116" s="21"/>
    </row>
    <row r="117" spans="96:96" x14ac:dyDescent="0.2">
      <c r="CR117" s="21"/>
    </row>
    <row r="118" spans="96:96" x14ac:dyDescent="0.2">
      <c r="CR118" s="21"/>
    </row>
    <row r="119" spans="96:96" x14ac:dyDescent="0.2">
      <c r="CR119" s="21"/>
    </row>
    <row r="120" spans="96:96" x14ac:dyDescent="0.2">
      <c r="CR120" s="21"/>
    </row>
    <row r="121" spans="96:96" x14ac:dyDescent="0.2">
      <c r="CR121" s="21"/>
    </row>
    <row r="122" spans="96:96" x14ac:dyDescent="0.2">
      <c r="CR122" s="21"/>
    </row>
    <row r="123" spans="96:96" x14ac:dyDescent="0.2">
      <c r="CR123" s="21"/>
    </row>
    <row r="124" spans="96:96" x14ac:dyDescent="0.2">
      <c r="CR124" s="21"/>
    </row>
    <row r="125" spans="96:96" x14ac:dyDescent="0.2">
      <c r="CR125" s="18"/>
    </row>
    <row r="126" spans="96:96" x14ac:dyDescent="0.2">
      <c r="CR126" s="18"/>
    </row>
    <row r="127" spans="96:96" x14ac:dyDescent="0.2">
      <c r="CR127" s="18"/>
    </row>
    <row r="128" spans="96:96" x14ac:dyDescent="0.2">
      <c r="CR128" s="18"/>
    </row>
    <row r="129" spans="96:96" x14ac:dyDescent="0.2">
      <c r="CR129" s="18"/>
    </row>
    <row r="130" spans="96:96" x14ac:dyDescent="0.2">
      <c r="CR130" s="18"/>
    </row>
    <row r="131" spans="96:96" x14ac:dyDescent="0.2">
      <c r="CR131" s="18"/>
    </row>
    <row r="132" spans="96:96" x14ac:dyDescent="0.2">
      <c r="CR132" s="18"/>
    </row>
    <row r="133" spans="96:96" x14ac:dyDescent="0.2">
      <c r="CR133" s="18"/>
    </row>
    <row r="134" spans="96:96" x14ac:dyDescent="0.2">
      <c r="CR134" s="18"/>
    </row>
    <row r="135" spans="96:96" x14ac:dyDescent="0.2">
      <c r="CR135" s="18"/>
    </row>
    <row r="136" spans="96:96" x14ac:dyDescent="0.2">
      <c r="CR136" s="18"/>
    </row>
    <row r="137" spans="96:96" x14ac:dyDescent="0.2">
      <c r="CR137" s="18"/>
    </row>
    <row r="138" spans="96:96" x14ac:dyDescent="0.2">
      <c r="CR138" s="18"/>
    </row>
    <row r="139" spans="96:96" x14ac:dyDescent="0.2">
      <c r="CR139" s="18"/>
    </row>
    <row r="140" spans="96:96" x14ac:dyDescent="0.2">
      <c r="CR140" s="18"/>
    </row>
    <row r="141" spans="96:96" x14ac:dyDescent="0.2">
      <c r="CR141" s="18"/>
    </row>
    <row r="142" spans="96:96" x14ac:dyDescent="0.2">
      <c r="CR142" s="18"/>
    </row>
    <row r="143" spans="96:96" x14ac:dyDescent="0.2">
      <c r="CR143" s="18"/>
    </row>
    <row r="144" spans="96:96" x14ac:dyDescent="0.2">
      <c r="CR144" s="18"/>
    </row>
    <row r="145" spans="96:96" x14ac:dyDescent="0.2">
      <c r="CR145" s="18"/>
    </row>
    <row r="146" spans="96:96" x14ac:dyDescent="0.2">
      <c r="CR146" s="18"/>
    </row>
    <row r="147" spans="96:96" x14ac:dyDescent="0.2">
      <c r="CR147" s="18"/>
    </row>
    <row r="148" spans="96:96" x14ac:dyDescent="0.2">
      <c r="CR148" s="18"/>
    </row>
    <row r="149" spans="96:96" x14ac:dyDescent="0.2">
      <c r="CR149" s="18"/>
    </row>
    <row r="150" spans="96:96" x14ac:dyDescent="0.2">
      <c r="CR150" s="18"/>
    </row>
    <row r="151" spans="96:96" x14ac:dyDescent="0.2">
      <c r="CR151" s="18"/>
    </row>
    <row r="152" spans="96:96" x14ac:dyDescent="0.2">
      <c r="CR152" s="18"/>
    </row>
    <row r="153" spans="96:96" x14ac:dyDescent="0.2">
      <c r="CR153" s="18"/>
    </row>
    <row r="154" spans="96:96" x14ac:dyDescent="0.2">
      <c r="CR154" s="18"/>
    </row>
    <row r="155" spans="96:96" x14ac:dyDescent="0.2">
      <c r="CR155" s="18"/>
    </row>
    <row r="156" spans="96:96" x14ac:dyDescent="0.2">
      <c r="CR156" s="18"/>
    </row>
    <row r="157" spans="96:96" x14ac:dyDescent="0.2">
      <c r="CR157" s="18"/>
    </row>
    <row r="158" spans="96:96" x14ac:dyDescent="0.2">
      <c r="CR158" s="18"/>
    </row>
    <row r="159" spans="96:96" x14ac:dyDescent="0.2">
      <c r="CR159" s="18"/>
    </row>
    <row r="160" spans="96:96" x14ac:dyDescent="0.2">
      <c r="CR160" s="18"/>
    </row>
    <row r="161" spans="96:96" x14ac:dyDescent="0.2">
      <c r="CR161" s="18"/>
    </row>
    <row r="162" spans="96:96" x14ac:dyDescent="0.2">
      <c r="CR162" s="18"/>
    </row>
    <row r="163" spans="96:96" x14ac:dyDescent="0.2">
      <c r="CR163" s="18"/>
    </row>
    <row r="164" spans="96:96" x14ac:dyDescent="0.2">
      <c r="CR164" s="18"/>
    </row>
    <row r="165" spans="96:96" x14ac:dyDescent="0.2">
      <c r="CR165" s="18"/>
    </row>
    <row r="166" spans="96:96" x14ac:dyDescent="0.2">
      <c r="CR166" s="18"/>
    </row>
    <row r="167" spans="96:96" x14ac:dyDescent="0.2">
      <c r="CR167" s="18"/>
    </row>
    <row r="168" spans="96:96" x14ac:dyDescent="0.2">
      <c r="CR168" s="18"/>
    </row>
    <row r="169" spans="96:96" x14ac:dyDescent="0.2">
      <c r="CR169" s="18"/>
    </row>
    <row r="170" spans="96:96" x14ac:dyDescent="0.2">
      <c r="CR170" s="18"/>
    </row>
    <row r="171" spans="96:96" x14ac:dyDescent="0.2">
      <c r="CR171" s="18"/>
    </row>
    <row r="172" spans="96:96" x14ac:dyDescent="0.2">
      <c r="CR172" s="18"/>
    </row>
    <row r="173" spans="96:96" x14ac:dyDescent="0.2">
      <c r="CR173" s="18"/>
    </row>
    <row r="174" spans="96:96" x14ac:dyDescent="0.2">
      <c r="CR174" s="18"/>
    </row>
    <row r="175" spans="96:96" x14ac:dyDescent="0.2">
      <c r="CR175" s="18"/>
    </row>
    <row r="176" spans="96:96" x14ac:dyDescent="0.2">
      <c r="CR176" s="18"/>
    </row>
    <row r="177" spans="96:96" x14ac:dyDescent="0.2">
      <c r="CR177" s="18"/>
    </row>
    <row r="178" spans="96:96" x14ac:dyDescent="0.2">
      <c r="CR178" s="18"/>
    </row>
    <row r="179" spans="96:96" x14ac:dyDescent="0.2">
      <c r="CR179" s="18"/>
    </row>
    <row r="180" spans="96:96" x14ac:dyDescent="0.2">
      <c r="CR180" s="18"/>
    </row>
    <row r="181" spans="96:96" x14ac:dyDescent="0.2">
      <c r="CR181" s="18"/>
    </row>
    <row r="182" spans="96:96" x14ac:dyDescent="0.2">
      <c r="CR182" s="18"/>
    </row>
    <row r="183" spans="96:96" x14ac:dyDescent="0.2">
      <c r="CR183" s="18"/>
    </row>
    <row r="184" spans="96:96" x14ac:dyDescent="0.2">
      <c r="CR184" s="18"/>
    </row>
    <row r="185" spans="96:96" x14ac:dyDescent="0.2">
      <c r="CR185" s="18"/>
    </row>
    <row r="186" spans="96:96" x14ac:dyDescent="0.2">
      <c r="CR186" s="18"/>
    </row>
    <row r="187" spans="96:96" x14ac:dyDescent="0.2">
      <c r="CR187" s="18"/>
    </row>
    <row r="188" spans="96:96" x14ac:dyDescent="0.2">
      <c r="CR188" s="18"/>
    </row>
    <row r="189" spans="96:96" x14ac:dyDescent="0.2">
      <c r="CR189" s="18"/>
    </row>
    <row r="190" spans="96:96" x14ac:dyDescent="0.2">
      <c r="CR190" s="18"/>
    </row>
    <row r="191" spans="96:96" x14ac:dyDescent="0.2">
      <c r="CR191" s="18"/>
    </row>
    <row r="192" spans="96:96" x14ac:dyDescent="0.2">
      <c r="CR192" s="18"/>
    </row>
    <row r="193" spans="96:96" x14ac:dyDescent="0.2">
      <c r="CR193" s="18"/>
    </row>
    <row r="194" spans="96:96" x14ac:dyDescent="0.2">
      <c r="CR194" s="18"/>
    </row>
    <row r="195" spans="96:96" x14ac:dyDescent="0.2">
      <c r="CR195" s="18"/>
    </row>
    <row r="196" spans="96:96" x14ac:dyDescent="0.2">
      <c r="CR196" s="18"/>
    </row>
    <row r="197" spans="96:96" x14ac:dyDescent="0.2">
      <c r="CR197" s="18"/>
    </row>
    <row r="198" spans="96:96" x14ac:dyDescent="0.2">
      <c r="CR198" s="18"/>
    </row>
    <row r="199" spans="96:96" x14ac:dyDescent="0.2">
      <c r="CR199" s="18"/>
    </row>
    <row r="200" spans="96:96" x14ac:dyDescent="0.2">
      <c r="CR200" s="18"/>
    </row>
    <row r="201" spans="96:96" x14ac:dyDescent="0.2">
      <c r="CR201" s="18"/>
    </row>
    <row r="202" spans="96:96" x14ac:dyDescent="0.2">
      <c r="CR202" s="18"/>
    </row>
    <row r="203" spans="96:96" x14ac:dyDescent="0.2">
      <c r="CR203" s="18"/>
    </row>
    <row r="204" spans="96:96" x14ac:dyDescent="0.2">
      <c r="CR204" s="18"/>
    </row>
    <row r="205" spans="96:96" x14ac:dyDescent="0.2">
      <c r="CR205" s="18"/>
    </row>
    <row r="206" spans="96:96" x14ac:dyDescent="0.2">
      <c r="CR206" s="18"/>
    </row>
    <row r="207" spans="96:96" x14ac:dyDescent="0.2">
      <c r="CR207" s="18"/>
    </row>
    <row r="208" spans="96:96" x14ac:dyDescent="0.2">
      <c r="CR208" s="18"/>
    </row>
    <row r="209" spans="96:96" x14ac:dyDescent="0.2">
      <c r="CR209" s="18"/>
    </row>
    <row r="210" spans="96:96" x14ac:dyDescent="0.2">
      <c r="CR210" s="18"/>
    </row>
    <row r="211" spans="96:96" x14ac:dyDescent="0.2">
      <c r="CR211" s="18"/>
    </row>
    <row r="212" spans="96:96" x14ac:dyDescent="0.2">
      <c r="CR212" s="18"/>
    </row>
    <row r="213" spans="96:96" x14ac:dyDescent="0.2">
      <c r="CR213" s="18"/>
    </row>
    <row r="214" spans="96:96" x14ac:dyDescent="0.2">
      <c r="CR214" s="18"/>
    </row>
    <row r="215" spans="96:96" x14ac:dyDescent="0.2">
      <c r="CR215" s="18"/>
    </row>
    <row r="216" spans="96:96" x14ac:dyDescent="0.2">
      <c r="CR216" s="18"/>
    </row>
    <row r="217" spans="96:96" x14ac:dyDescent="0.2">
      <c r="CR217" s="18"/>
    </row>
    <row r="218" spans="96:96" x14ac:dyDescent="0.2">
      <c r="CR218" s="18"/>
    </row>
    <row r="219" spans="96:96" x14ac:dyDescent="0.2">
      <c r="CR219" s="18"/>
    </row>
    <row r="220" spans="96:96" x14ac:dyDescent="0.2">
      <c r="CR220" s="18"/>
    </row>
    <row r="221" spans="96:96" x14ac:dyDescent="0.2">
      <c r="CR221" s="18"/>
    </row>
    <row r="222" spans="96:96" x14ac:dyDescent="0.2">
      <c r="CR222" s="18"/>
    </row>
    <row r="223" spans="96:96" x14ac:dyDescent="0.2">
      <c r="CR223" s="18"/>
    </row>
    <row r="224" spans="96:96" x14ac:dyDescent="0.2">
      <c r="CR224" s="18"/>
    </row>
    <row r="225" spans="96:96" x14ac:dyDescent="0.2">
      <c r="CR225" s="18"/>
    </row>
    <row r="226" spans="96:96" x14ac:dyDescent="0.2">
      <c r="CR226" s="18"/>
    </row>
    <row r="227" spans="96:96" x14ac:dyDescent="0.2">
      <c r="CR227" s="18"/>
    </row>
    <row r="228" spans="96:96" x14ac:dyDescent="0.2">
      <c r="CR228" s="18"/>
    </row>
    <row r="229" spans="96:96" x14ac:dyDescent="0.2">
      <c r="CR229" s="18"/>
    </row>
    <row r="230" spans="96:96" x14ac:dyDescent="0.2">
      <c r="CR230" s="18"/>
    </row>
    <row r="231" spans="96:96" x14ac:dyDescent="0.2">
      <c r="CR231" s="18"/>
    </row>
    <row r="232" spans="96:96" x14ac:dyDescent="0.2">
      <c r="CR232" s="18"/>
    </row>
    <row r="233" spans="96:96" x14ac:dyDescent="0.2">
      <c r="CR233" s="18"/>
    </row>
    <row r="234" spans="96:96" x14ac:dyDescent="0.2">
      <c r="CR234" s="18"/>
    </row>
    <row r="235" spans="96:96" x14ac:dyDescent="0.2">
      <c r="CR235" s="18"/>
    </row>
    <row r="236" spans="96:96" x14ac:dyDescent="0.2">
      <c r="CR236" s="18"/>
    </row>
    <row r="237" spans="96:96" x14ac:dyDescent="0.2">
      <c r="CR237" s="18"/>
    </row>
    <row r="238" spans="96:96" x14ac:dyDescent="0.2">
      <c r="CR238" s="18"/>
    </row>
    <row r="239" spans="96:96" x14ac:dyDescent="0.2">
      <c r="CR239" s="18"/>
    </row>
    <row r="240" spans="96:96" x14ac:dyDescent="0.2">
      <c r="CR240" s="18"/>
    </row>
    <row r="241" spans="96:96" x14ac:dyDescent="0.2">
      <c r="CR241" s="18"/>
    </row>
    <row r="242" spans="96:96" x14ac:dyDescent="0.2">
      <c r="CR242" s="18"/>
    </row>
    <row r="243" spans="96:96" x14ac:dyDescent="0.2">
      <c r="CR243" s="18"/>
    </row>
    <row r="244" spans="96:96" x14ac:dyDescent="0.2">
      <c r="CR244" s="18"/>
    </row>
    <row r="245" spans="96:96" x14ac:dyDescent="0.2">
      <c r="CR245" s="18"/>
    </row>
    <row r="246" spans="96:96" x14ac:dyDescent="0.2">
      <c r="CR246" s="18"/>
    </row>
    <row r="247" spans="96:96" x14ac:dyDescent="0.2">
      <c r="CR247" s="18"/>
    </row>
    <row r="248" spans="96:96" x14ac:dyDescent="0.2">
      <c r="CR248" s="18"/>
    </row>
    <row r="249" spans="96:96" x14ac:dyDescent="0.2">
      <c r="CR249" s="18"/>
    </row>
    <row r="250" spans="96:96" x14ac:dyDescent="0.2">
      <c r="CR250" s="18"/>
    </row>
    <row r="251" spans="96:96" x14ac:dyDescent="0.2">
      <c r="CR251" s="18"/>
    </row>
    <row r="252" spans="96:96" x14ac:dyDescent="0.2">
      <c r="CR252" s="18"/>
    </row>
    <row r="253" spans="96:96" x14ac:dyDescent="0.2">
      <c r="CR253" s="18"/>
    </row>
    <row r="254" spans="96:96" x14ac:dyDescent="0.2">
      <c r="CR254" s="18"/>
    </row>
    <row r="255" spans="96:96" x14ac:dyDescent="0.2">
      <c r="CR255" s="18"/>
    </row>
    <row r="256" spans="96:96" x14ac:dyDescent="0.2">
      <c r="CR256" s="18"/>
    </row>
    <row r="257" spans="96:96" x14ac:dyDescent="0.2">
      <c r="CR257" s="18"/>
    </row>
    <row r="258" spans="96:96" x14ac:dyDescent="0.2">
      <c r="CR258" s="18"/>
    </row>
    <row r="259" spans="96:96" x14ac:dyDescent="0.2">
      <c r="CR259" s="18"/>
    </row>
    <row r="260" spans="96:96" x14ac:dyDescent="0.2">
      <c r="CR260" s="18"/>
    </row>
    <row r="261" spans="96:96" x14ac:dyDescent="0.2">
      <c r="CR261" s="18"/>
    </row>
    <row r="262" spans="96:96" x14ac:dyDescent="0.2">
      <c r="CR262" s="18"/>
    </row>
    <row r="263" spans="96:96" x14ac:dyDescent="0.2">
      <c r="CR263" s="18"/>
    </row>
    <row r="264" spans="96:96" x14ac:dyDescent="0.2">
      <c r="CR264" s="18"/>
    </row>
    <row r="265" spans="96:96" x14ac:dyDescent="0.2">
      <c r="CR265" s="18"/>
    </row>
    <row r="266" spans="96:96" x14ac:dyDescent="0.2">
      <c r="CR266" s="18"/>
    </row>
    <row r="267" spans="96:96" x14ac:dyDescent="0.2">
      <c r="CR267" s="18"/>
    </row>
    <row r="268" spans="96:96" x14ac:dyDescent="0.2">
      <c r="CR268" s="18"/>
    </row>
    <row r="269" spans="96:96" x14ac:dyDescent="0.2">
      <c r="CR269" s="18"/>
    </row>
    <row r="270" spans="96:96" x14ac:dyDescent="0.2">
      <c r="CR270" s="18"/>
    </row>
    <row r="271" spans="96:96" x14ac:dyDescent="0.2">
      <c r="CR271" s="18"/>
    </row>
    <row r="272" spans="96:96" x14ac:dyDescent="0.2">
      <c r="CR272" s="18"/>
    </row>
    <row r="273" spans="96:96" x14ac:dyDescent="0.2">
      <c r="CR273" s="18"/>
    </row>
    <row r="274" spans="96:96" x14ac:dyDescent="0.2">
      <c r="CR274" s="18"/>
    </row>
    <row r="275" spans="96:96" x14ac:dyDescent="0.2">
      <c r="CR275" s="18"/>
    </row>
    <row r="276" spans="96:96" x14ac:dyDescent="0.2">
      <c r="CR276" s="18"/>
    </row>
    <row r="277" spans="96:96" x14ac:dyDescent="0.2">
      <c r="CR277" s="18"/>
    </row>
    <row r="278" spans="96:96" x14ac:dyDescent="0.2">
      <c r="CR278" s="18"/>
    </row>
    <row r="279" spans="96:96" x14ac:dyDescent="0.2">
      <c r="CR279" s="18"/>
    </row>
    <row r="280" spans="96:96" x14ac:dyDescent="0.2">
      <c r="CR280" s="18"/>
    </row>
    <row r="281" spans="96:96" x14ac:dyDescent="0.2">
      <c r="CR281" s="18"/>
    </row>
    <row r="282" spans="96:96" x14ac:dyDescent="0.2">
      <c r="CR282" s="18"/>
    </row>
    <row r="283" spans="96:96" x14ac:dyDescent="0.2">
      <c r="CR283" s="18"/>
    </row>
    <row r="284" spans="96:96" x14ac:dyDescent="0.2">
      <c r="CR284" s="18"/>
    </row>
    <row r="285" spans="96:96" x14ac:dyDescent="0.2">
      <c r="CR285" s="18"/>
    </row>
    <row r="286" spans="96:96" x14ac:dyDescent="0.2">
      <c r="CR286" s="18"/>
    </row>
    <row r="287" spans="96:96" x14ac:dyDescent="0.2">
      <c r="CR287" s="18"/>
    </row>
    <row r="288" spans="96:96" x14ac:dyDescent="0.2">
      <c r="CR288" s="18"/>
    </row>
    <row r="289" spans="96:96" x14ac:dyDescent="0.2">
      <c r="CR289" s="18"/>
    </row>
    <row r="290" spans="96:96" x14ac:dyDescent="0.2">
      <c r="CR290" s="18"/>
    </row>
    <row r="291" spans="96:96" x14ac:dyDescent="0.2">
      <c r="CR291" s="18"/>
    </row>
    <row r="292" spans="96:96" x14ac:dyDescent="0.2">
      <c r="CR292" s="18"/>
    </row>
    <row r="293" spans="96:96" x14ac:dyDescent="0.2">
      <c r="CR293" s="18"/>
    </row>
    <row r="294" spans="96:96" x14ac:dyDescent="0.2">
      <c r="CR294" s="18"/>
    </row>
    <row r="295" spans="96:96" x14ac:dyDescent="0.2">
      <c r="CR295" s="18"/>
    </row>
    <row r="296" spans="96:96" x14ac:dyDescent="0.2">
      <c r="CR296" s="18"/>
    </row>
    <row r="297" spans="96:96" x14ac:dyDescent="0.2">
      <c r="CR297" s="18"/>
    </row>
    <row r="298" spans="96:96" x14ac:dyDescent="0.2">
      <c r="CR298" s="18"/>
    </row>
    <row r="299" spans="96:96" x14ac:dyDescent="0.2">
      <c r="CR299" s="18"/>
    </row>
    <row r="300" spans="96:96" x14ac:dyDescent="0.2">
      <c r="CR300" s="18"/>
    </row>
    <row r="301" spans="96:96" x14ac:dyDescent="0.2">
      <c r="CR301" s="18"/>
    </row>
    <row r="302" spans="96:96" x14ac:dyDescent="0.2">
      <c r="CR302" s="18"/>
    </row>
    <row r="303" spans="96:96" x14ac:dyDescent="0.2">
      <c r="CR303" s="18"/>
    </row>
    <row r="304" spans="96:96" x14ac:dyDescent="0.2">
      <c r="CR304" s="18"/>
    </row>
    <row r="305" spans="96:96" x14ac:dyDescent="0.2">
      <c r="CR305" s="18"/>
    </row>
    <row r="306" spans="96:96" x14ac:dyDescent="0.2">
      <c r="CR306" s="18"/>
    </row>
    <row r="307" spans="96:96" x14ac:dyDescent="0.2">
      <c r="CR307" s="18"/>
    </row>
    <row r="308" spans="96:96" x14ac:dyDescent="0.2">
      <c r="CR308" s="18"/>
    </row>
    <row r="309" spans="96:96" x14ac:dyDescent="0.2">
      <c r="CR309" s="18"/>
    </row>
    <row r="310" spans="96:96" x14ac:dyDescent="0.2">
      <c r="CR310" s="18"/>
    </row>
    <row r="311" spans="96:96" x14ac:dyDescent="0.2">
      <c r="CR311" s="18"/>
    </row>
    <row r="312" spans="96:96" x14ac:dyDescent="0.2">
      <c r="CR312" s="18"/>
    </row>
    <row r="313" spans="96:96" x14ac:dyDescent="0.2">
      <c r="CR313" s="18"/>
    </row>
    <row r="314" spans="96:96" x14ac:dyDescent="0.2">
      <c r="CR314" s="18"/>
    </row>
    <row r="315" spans="96:96" x14ac:dyDescent="0.2">
      <c r="CR315" s="18"/>
    </row>
    <row r="316" spans="96:96" x14ac:dyDescent="0.2">
      <c r="CR316" s="18"/>
    </row>
    <row r="317" spans="96:96" x14ac:dyDescent="0.2">
      <c r="CR317" s="18"/>
    </row>
    <row r="318" spans="96:96" x14ac:dyDescent="0.2">
      <c r="CR318" s="18"/>
    </row>
    <row r="319" spans="96:96" x14ac:dyDescent="0.2">
      <c r="CR319" s="18"/>
    </row>
    <row r="320" spans="96:96" x14ac:dyDescent="0.2">
      <c r="CR320" s="18"/>
    </row>
    <row r="321" spans="96:96" x14ac:dyDescent="0.2">
      <c r="CR321" s="18"/>
    </row>
    <row r="322" spans="96:96" x14ac:dyDescent="0.2">
      <c r="CR322" s="18"/>
    </row>
    <row r="323" spans="96:96" x14ac:dyDescent="0.2">
      <c r="CR323" s="18"/>
    </row>
    <row r="324" spans="96:96" x14ac:dyDescent="0.2">
      <c r="CR324" s="18"/>
    </row>
    <row r="325" spans="96:96" x14ac:dyDescent="0.2">
      <c r="CR325" s="18"/>
    </row>
    <row r="326" spans="96:96" x14ac:dyDescent="0.2">
      <c r="CR326" s="18"/>
    </row>
    <row r="327" spans="96:96" x14ac:dyDescent="0.2">
      <c r="CR327" s="18"/>
    </row>
    <row r="328" spans="96:96" x14ac:dyDescent="0.2">
      <c r="CR328" s="18"/>
    </row>
    <row r="329" spans="96:96" x14ac:dyDescent="0.2">
      <c r="CR329" s="18"/>
    </row>
    <row r="330" spans="96:96" x14ac:dyDescent="0.2">
      <c r="CR330" s="18"/>
    </row>
    <row r="331" spans="96:96" x14ac:dyDescent="0.2">
      <c r="CR331" s="18"/>
    </row>
    <row r="332" spans="96:96" x14ac:dyDescent="0.2">
      <c r="CR332" s="18"/>
    </row>
    <row r="333" spans="96:96" x14ac:dyDescent="0.2">
      <c r="CR333" s="18"/>
    </row>
    <row r="334" spans="96:96" x14ac:dyDescent="0.2">
      <c r="CR334" s="18"/>
    </row>
    <row r="335" spans="96:96" x14ac:dyDescent="0.2">
      <c r="CR335" s="18"/>
    </row>
    <row r="336" spans="96:96" x14ac:dyDescent="0.2">
      <c r="CR336" s="18"/>
    </row>
    <row r="337" spans="96:96" x14ac:dyDescent="0.2">
      <c r="CR337" s="18"/>
    </row>
    <row r="338" spans="96:96" x14ac:dyDescent="0.2">
      <c r="CR338" s="18"/>
    </row>
    <row r="339" spans="96:96" x14ac:dyDescent="0.2">
      <c r="CR339" s="18"/>
    </row>
    <row r="340" spans="96:96" x14ac:dyDescent="0.2">
      <c r="CR340" s="18"/>
    </row>
    <row r="341" spans="96:96" x14ac:dyDescent="0.2">
      <c r="CR341" s="18"/>
    </row>
    <row r="342" spans="96:96" x14ac:dyDescent="0.2">
      <c r="CR342" s="18"/>
    </row>
    <row r="343" spans="96:96" x14ac:dyDescent="0.2">
      <c r="CR343" s="18"/>
    </row>
    <row r="344" spans="96:96" x14ac:dyDescent="0.2">
      <c r="CR344" s="18"/>
    </row>
    <row r="345" spans="96:96" x14ac:dyDescent="0.2">
      <c r="CR345" s="18"/>
    </row>
    <row r="346" spans="96:96" x14ac:dyDescent="0.2">
      <c r="CR346" s="18"/>
    </row>
    <row r="347" spans="96:96" x14ac:dyDescent="0.2">
      <c r="CR347" s="18"/>
    </row>
    <row r="348" spans="96:96" x14ac:dyDescent="0.2">
      <c r="CR348" s="18"/>
    </row>
    <row r="349" spans="96:96" x14ac:dyDescent="0.2">
      <c r="CR349" s="18"/>
    </row>
    <row r="350" spans="96:96" x14ac:dyDescent="0.2">
      <c r="CR350" s="18"/>
    </row>
    <row r="351" spans="96:96" x14ac:dyDescent="0.2">
      <c r="CR351" s="18"/>
    </row>
    <row r="352" spans="96:96" x14ac:dyDescent="0.2">
      <c r="CR352" s="18"/>
    </row>
    <row r="353" spans="96:96" x14ac:dyDescent="0.2">
      <c r="CR353" s="18"/>
    </row>
    <row r="354" spans="96:96" x14ac:dyDescent="0.2">
      <c r="CR354" s="18"/>
    </row>
    <row r="355" spans="96:96" x14ac:dyDescent="0.2">
      <c r="CR355" s="18"/>
    </row>
    <row r="356" spans="96:96" x14ac:dyDescent="0.2">
      <c r="CR356" s="18"/>
    </row>
    <row r="357" spans="96:96" x14ac:dyDescent="0.2">
      <c r="CR357" s="18"/>
    </row>
    <row r="358" spans="96:96" x14ac:dyDescent="0.2">
      <c r="CR358" s="18"/>
    </row>
    <row r="359" spans="96:96" x14ac:dyDescent="0.2">
      <c r="CR359" s="18"/>
    </row>
    <row r="360" spans="96:96" x14ac:dyDescent="0.2">
      <c r="CR360" s="18"/>
    </row>
    <row r="361" spans="96:96" x14ac:dyDescent="0.2">
      <c r="CR361" s="18"/>
    </row>
    <row r="362" spans="96:96" x14ac:dyDescent="0.2">
      <c r="CR362" s="18"/>
    </row>
    <row r="363" spans="96:96" x14ac:dyDescent="0.2">
      <c r="CR363" s="18"/>
    </row>
    <row r="364" spans="96:96" x14ac:dyDescent="0.2">
      <c r="CR364" s="18"/>
    </row>
    <row r="365" spans="96:96" x14ac:dyDescent="0.2">
      <c r="CR365" s="18"/>
    </row>
    <row r="366" spans="96:96" x14ac:dyDescent="0.2">
      <c r="CR366" s="18"/>
    </row>
    <row r="367" spans="96:96" x14ac:dyDescent="0.2">
      <c r="CR367" s="18"/>
    </row>
    <row r="368" spans="96:96" x14ac:dyDescent="0.2">
      <c r="CR368" s="18"/>
    </row>
    <row r="369" spans="96:96" x14ac:dyDescent="0.2">
      <c r="CR369" s="18"/>
    </row>
    <row r="370" spans="96:96" x14ac:dyDescent="0.2">
      <c r="CR370" s="18"/>
    </row>
    <row r="371" spans="96:96" x14ac:dyDescent="0.2">
      <c r="CR371" s="18"/>
    </row>
    <row r="372" spans="96:96" x14ac:dyDescent="0.2">
      <c r="CR372" s="18"/>
    </row>
    <row r="373" spans="96:96" x14ac:dyDescent="0.2">
      <c r="CR373" s="18"/>
    </row>
    <row r="374" spans="96:96" x14ac:dyDescent="0.2">
      <c r="CR374" s="18"/>
    </row>
    <row r="375" spans="96:96" x14ac:dyDescent="0.2">
      <c r="CR375" s="18"/>
    </row>
    <row r="376" spans="96:96" x14ac:dyDescent="0.2">
      <c r="CR376" s="18"/>
    </row>
    <row r="377" spans="96:96" x14ac:dyDescent="0.2">
      <c r="CR377" s="18"/>
    </row>
    <row r="378" spans="96:96" x14ac:dyDescent="0.2">
      <c r="CR378" s="18"/>
    </row>
    <row r="379" spans="96:96" x14ac:dyDescent="0.2">
      <c r="CR379" s="18"/>
    </row>
    <row r="65251" spans="96:96" x14ac:dyDescent="0.2">
      <c r="CR65251" s="22" t="e">
        <f>#REF!</f>
        <v>#REF!</v>
      </c>
    </row>
    <row r="65252" spans="96:96" x14ac:dyDescent="0.2">
      <c r="CR65252" s="22" t="e">
        <f>#REF!</f>
        <v>#REF!</v>
      </c>
    </row>
    <row r="65253" spans="96:96" x14ac:dyDescent="0.2">
      <c r="CR65253" s="22" t="e">
        <f>#REF!</f>
        <v>#REF!</v>
      </c>
    </row>
    <row r="65254" spans="96:96" x14ac:dyDescent="0.2">
      <c r="CR65254" s="22" t="e">
        <f>#REF!</f>
        <v>#REF!</v>
      </c>
    </row>
    <row r="65255" spans="96:96" x14ac:dyDescent="0.2">
      <c r="CR65255" s="22" t="e">
        <f>#REF!</f>
        <v>#REF!</v>
      </c>
    </row>
  </sheetData>
  <sheetProtection password="CBEB" objects="1"/>
  <mergeCells count="313">
    <mergeCell ref="A78:B78"/>
    <mergeCell ref="F78:H78"/>
    <mergeCell ref="L78:P78"/>
    <mergeCell ref="R78:S78"/>
    <mergeCell ref="W78:Y78"/>
    <mergeCell ref="AC78:AG78"/>
    <mergeCell ref="A76:B76"/>
    <mergeCell ref="F76:H76"/>
    <mergeCell ref="L76:P76"/>
    <mergeCell ref="R76:S76"/>
    <mergeCell ref="W76:Y76"/>
    <mergeCell ref="AC76:AG76"/>
    <mergeCell ref="A77:B77"/>
    <mergeCell ref="F77:H77"/>
    <mergeCell ref="L77:P77"/>
    <mergeCell ref="R77:S77"/>
    <mergeCell ref="W77:Y77"/>
    <mergeCell ref="AC77:AG77"/>
    <mergeCell ref="A74:B74"/>
    <mergeCell ref="F74:H74"/>
    <mergeCell ref="L74:P74"/>
    <mergeCell ref="R74:S74"/>
    <mergeCell ref="W74:Y74"/>
    <mergeCell ref="AC74:AG74"/>
    <mergeCell ref="A75:B75"/>
    <mergeCell ref="F75:H75"/>
    <mergeCell ref="L75:P75"/>
    <mergeCell ref="R75:S75"/>
    <mergeCell ref="W75:Y75"/>
    <mergeCell ref="AC75:AG75"/>
    <mergeCell ref="I72:K72"/>
    <mergeCell ref="L72:P72"/>
    <mergeCell ref="Z72:AB72"/>
    <mergeCell ref="AC72:AG72"/>
    <mergeCell ref="A73:B73"/>
    <mergeCell ref="F73:H73"/>
    <mergeCell ref="L73:P73"/>
    <mergeCell ref="R73:S73"/>
    <mergeCell ref="W73:Y73"/>
    <mergeCell ref="AC73:AG73"/>
    <mergeCell ref="A68:B68"/>
    <mergeCell ref="J68:K68"/>
    <mergeCell ref="R68:S68"/>
    <mergeCell ref="AA68:AB68"/>
    <mergeCell ref="A69:B69"/>
    <mergeCell ref="J69:K69"/>
    <mergeCell ref="R69:S69"/>
    <mergeCell ref="AA69:AB69"/>
    <mergeCell ref="A70:B70"/>
    <mergeCell ref="J70:K70"/>
    <mergeCell ref="R70:S70"/>
    <mergeCell ref="AA70:AB70"/>
    <mergeCell ref="A65:P65"/>
    <mergeCell ref="R65:AG65"/>
    <mergeCell ref="J66:K66"/>
    <mergeCell ref="L66:N66"/>
    <mergeCell ref="AA66:AB66"/>
    <mergeCell ref="AC66:AE66"/>
    <mergeCell ref="A67:B67"/>
    <mergeCell ref="J67:K67"/>
    <mergeCell ref="R67:S67"/>
    <mergeCell ref="AA67:AB67"/>
    <mergeCell ref="J54:K54"/>
    <mergeCell ref="J52:K52"/>
    <mergeCell ref="J53:K53"/>
    <mergeCell ref="J55:K55"/>
    <mergeCell ref="W63:Y63"/>
    <mergeCell ref="F58:H58"/>
    <mergeCell ref="F59:H59"/>
    <mergeCell ref="F60:H60"/>
    <mergeCell ref="F61:H61"/>
    <mergeCell ref="R39:S39"/>
    <mergeCell ref="R40:S40"/>
    <mergeCell ref="J37:K37"/>
    <mergeCell ref="R12:S12"/>
    <mergeCell ref="J39:K39"/>
    <mergeCell ref="W15:Y15"/>
    <mergeCell ref="J38:K38"/>
    <mergeCell ref="R31:S31"/>
    <mergeCell ref="A33:AG33"/>
    <mergeCell ref="F27:H27"/>
    <mergeCell ref="AA37:AB37"/>
    <mergeCell ref="AA38:AB38"/>
    <mergeCell ref="AA39:AB39"/>
    <mergeCell ref="AA40:AB40"/>
    <mergeCell ref="J40:K40"/>
    <mergeCell ref="R38:S38"/>
    <mergeCell ref="AC19:AE19"/>
    <mergeCell ref="AC36:AE36"/>
    <mergeCell ref="L36:N36"/>
    <mergeCell ref="AC31:AG31"/>
    <mergeCell ref="J36:K36"/>
    <mergeCell ref="AA36:AB36"/>
    <mergeCell ref="L31:P31"/>
    <mergeCell ref="W31:Y31"/>
    <mergeCell ref="AC61:AG61"/>
    <mergeCell ref="W61:Y61"/>
    <mergeCell ref="A63:B63"/>
    <mergeCell ref="R63:S63"/>
    <mergeCell ref="R3:AG3"/>
    <mergeCell ref="R18:AG18"/>
    <mergeCell ref="A35:P35"/>
    <mergeCell ref="R35:AG35"/>
    <mergeCell ref="A50:P50"/>
    <mergeCell ref="R50:AG50"/>
    <mergeCell ref="W58:Y58"/>
    <mergeCell ref="W59:Y59"/>
    <mergeCell ref="W60:Y60"/>
    <mergeCell ref="AC58:AG58"/>
    <mergeCell ref="AC59:AG59"/>
    <mergeCell ref="AC60:AG60"/>
    <mergeCell ref="F62:H62"/>
    <mergeCell ref="F63:H63"/>
    <mergeCell ref="L63:P63"/>
    <mergeCell ref="W62:Y62"/>
    <mergeCell ref="AC62:AG62"/>
    <mergeCell ref="AC63:AG63"/>
    <mergeCell ref="J22:K22"/>
    <mergeCell ref="L19:N19"/>
    <mergeCell ref="A58:B58"/>
    <mergeCell ref="R58:S58"/>
    <mergeCell ref="L58:P58"/>
    <mergeCell ref="I57:K57"/>
    <mergeCell ref="L57:P57"/>
    <mergeCell ref="I25:K25"/>
    <mergeCell ref="A61:B61"/>
    <mergeCell ref="R61:S61"/>
    <mergeCell ref="A62:B62"/>
    <mergeCell ref="R62:S62"/>
    <mergeCell ref="L61:P61"/>
    <mergeCell ref="L62:P62"/>
    <mergeCell ref="A59:B59"/>
    <mergeCell ref="R59:S59"/>
    <mergeCell ref="A60:B60"/>
    <mergeCell ref="F28:H28"/>
    <mergeCell ref="F29:H29"/>
    <mergeCell ref="F44:H44"/>
    <mergeCell ref="L51:N51"/>
    <mergeCell ref="R37:S37"/>
    <mergeCell ref="A54:B54"/>
    <mergeCell ref="A55:B55"/>
    <mergeCell ref="R52:S52"/>
    <mergeCell ref="R53:S53"/>
    <mergeCell ref="AA54:AB54"/>
    <mergeCell ref="AA55:AB55"/>
    <mergeCell ref="AA52:AB52"/>
    <mergeCell ref="AA53:AB53"/>
    <mergeCell ref="R48:S48"/>
    <mergeCell ref="AC48:AG48"/>
    <mergeCell ref="R60:S60"/>
    <mergeCell ref="L59:P59"/>
    <mergeCell ref="L60:P60"/>
    <mergeCell ref="Z57:AB57"/>
    <mergeCell ref="AC57:AG57"/>
    <mergeCell ref="AC51:AE51"/>
    <mergeCell ref="R54:S54"/>
    <mergeCell ref="R55:S55"/>
    <mergeCell ref="R47:S47"/>
    <mergeCell ref="AC47:AG47"/>
    <mergeCell ref="L46:P46"/>
    <mergeCell ref="L47:P47"/>
    <mergeCell ref="W46:Y46"/>
    <mergeCell ref="W47:Y47"/>
    <mergeCell ref="F46:H46"/>
    <mergeCell ref="J51:K51"/>
    <mergeCell ref="AA51:AB51"/>
    <mergeCell ref="L48:P48"/>
    <mergeCell ref="W48:Y48"/>
    <mergeCell ref="R46:S46"/>
    <mergeCell ref="AC46:AG46"/>
    <mergeCell ref="Z42:AB42"/>
    <mergeCell ref="R44:S44"/>
    <mergeCell ref="AC44:AG44"/>
    <mergeCell ref="A45:B45"/>
    <mergeCell ref="R45:S45"/>
    <mergeCell ref="AC45:AG45"/>
    <mergeCell ref="L44:P44"/>
    <mergeCell ref="L45:P45"/>
    <mergeCell ref="W44:Y44"/>
    <mergeCell ref="W45:Y45"/>
    <mergeCell ref="F45:H45"/>
    <mergeCell ref="A52:B52"/>
    <mergeCell ref="A53:B53"/>
    <mergeCell ref="A31:B31"/>
    <mergeCell ref="F31:H31"/>
    <mergeCell ref="A44:B44"/>
    <mergeCell ref="A46:B46"/>
    <mergeCell ref="A48:B48"/>
    <mergeCell ref="F48:H48"/>
    <mergeCell ref="F47:H47"/>
    <mergeCell ref="A37:B37"/>
    <mergeCell ref="A38:B38"/>
    <mergeCell ref="A39:B39"/>
    <mergeCell ref="A40:B40"/>
    <mergeCell ref="A47:B47"/>
    <mergeCell ref="A32:AG32"/>
    <mergeCell ref="AC42:AG42"/>
    <mergeCell ref="A43:B43"/>
    <mergeCell ref="R43:S43"/>
    <mergeCell ref="AC43:AG43"/>
    <mergeCell ref="L43:P43"/>
    <mergeCell ref="W43:Y43"/>
    <mergeCell ref="F43:H43"/>
    <mergeCell ref="I42:K42"/>
    <mergeCell ref="L42:P42"/>
    <mergeCell ref="R29:S29"/>
    <mergeCell ref="AC29:AG29"/>
    <mergeCell ref="R30:S30"/>
    <mergeCell ref="AC30:AG30"/>
    <mergeCell ref="L29:P29"/>
    <mergeCell ref="A28:B28"/>
    <mergeCell ref="R28:S28"/>
    <mergeCell ref="AC28:AG28"/>
    <mergeCell ref="L27:P27"/>
    <mergeCell ref="L28:P28"/>
    <mergeCell ref="W27:Y27"/>
    <mergeCell ref="W28:Y28"/>
    <mergeCell ref="L30:P30"/>
    <mergeCell ref="W29:Y29"/>
    <mergeCell ref="W30:Y30"/>
    <mergeCell ref="F30:H30"/>
    <mergeCell ref="R27:S27"/>
    <mergeCell ref="AC27:AG27"/>
    <mergeCell ref="A29:B29"/>
    <mergeCell ref="A27:B27"/>
    <mergeCell ref="A30:B30"/>
    <mergeCell ref="Z25:AB25"/>
    <mergeCell ref="AC25:AG25"/>
    <mergeCell ref="A26:B26"/>
    <mergeCell ref="R26:S26"/>
    <mergeCell ref="AC26:AG26"/>
    <mergeCell ref="L25:P25"/>
    <mergeCell ref="L26:P26"/>
    <mergeCell ref="W26:Y26"/>
    <mergeCell ref="F26:H26"/>
    <mergeCell ref="A16:B16"/>
    <mergeCell ref="R16:S16"/>
    <mergeCell ref="AC16:AG16"/>
    <mergeCell ref="A18:P18"/>
    <mergeCell ref="F16:H16"/>
    <mergeCell ref="L16:P16"/>
    <mergeCell ref="W16:Y16"/>
    <mergeCell ref="AA22:AB22"/>
    <mergeCell ref="J23:K23"/>
    <mergeCell ref="AA23:AB23"/>
    <mergeCell ref="AA19:AB19"/>
    <mergeCell ref="J20:K20"/>
    <mergeCell ref="AA20:AB20"/>
    <mergeCell ref="J21:K21"/>
    <mergeCell ref="AA21:AB21"/>
    <mergeCell ref="J19:K19"/>
    <mergeCell ref="A20:B20"/>
    <mergeCell ref="A21:B21"/>
    <mergeCell ref="A22:B22"/>
    <mergeCell ref="A23:B23"/>
    <mergeCell ref="R20:S20"/>
    <mergeCell ref="R21:S21"/>
    <mergeCell ref="R22:S22"/>
    <mergeCell ref="R23:S23"/>
    <mergeCell ref="A14:B14"/>
    <mergeCell ref="R14:S14"/>
    <mergeCell ref="AC14:AG14"/>
    <mergeCell ref="A15:B15"/>
    <mergeCell ref="R15:S15"/>
    <mergeCell ref="AC15:AG15"/>
    <mergeCell ref="F14:H14"/>
    <mergeCell ref="F15:H15"/>
    <mergeCell ref="L15:P15"/>
    <mergeCell ref="W14:Y14"/>
    <mergeCell ref="L14:P14"/>
    <mergeCell ref="A1:AG1"/>
    <mergeCell ref="J4:K4"/>
    <mergeCell ref="AA4:AB4"/>
    <mergeCell ref="J5:K5"/>
    <mergeCell ref="AA5:AB5"/>
    <mergeCell ref="A3:P3"/>
    <mergeCell ref="AC10:AG10"/>
    <mergeCell ref="A11:B11"/>
    <mergeCell ref="R11:S11"/>
    <mergeCell ref="AC11:AG11"/>
    <mergeCell ref="F11:H11"/>
    <mergeCell ref="W11:Y11"/>
    <mergeCell ref="L10:P10"/>
    <mergeCell ref="Z10:AB10"/>
    <mergeCell ref="R5:S5"/>
    <mergeCell ref="R6:S6"/>
    <mergeCell ref="R7:S7"/>
    <mergeCell ref="R8:S8"/>
    <mergeCell ref="L4:N4"/>
    <mergeCell ref="AC4:AE4"/>
    <mergeCell ref="A5:B5"/>
    <mergeCell ref="AA6:AB6"/>
    <mergeCell ref="J7:K7"/>
    <mergeCell ref="AA7:AB7"/>
    <mergeCell ref="J6:K6"/>
    <mergeCell ref="AA8:AB8"/>
    <mergeCell ref="I10:K10"/>
    <mergeCell ref="A8:B8"/>
    <mergeCell ref="J8:K8"/>
    <mergeCell ref="A6:B6"/>
    <mergeCell ref="A7:B7"/>
    <mergeCell ref="AC12:AG12"/>
    <mergeCell ref="A13:B13"/>
    <mergeCell ref="R13:S13"/>
    <mergeCell ref="AC13:AG13"/>
    <mergeCell ref="F12:H12"/>
    <mergeCell ref="F13:H13"/>
    <mergeCell ref="W13:Y13"/>
    <mergeCell ref="W12:Y12"/>
    <mergeCell ref="A12:B12"/>
    <mergeCell ref="L13:P13"/>
    <mergeCell ref="L11:P11"/>
    <mergeCell ref="L12:P12"/>
  </mergeCells>
  <phoneticPr fontId="0" type="noConversion"/>
  <pageMargins left="0.47" right="0.19685039370078741" top="0.2" bottom="0.19685039370078741" header="0.2" footer="0"/>
  <pageSetup paperSize="9" scale="135" fitToWidth="2" fitToHeight="0" orientation="landscape" horizontalDpi="360" r:id="rId1"/>
  <headerFooter alignWithMargins="0"/>
  <rowBreaks count="1" manualBreakCount="1">
    <brk id="31" max="32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65254"/>
  <sheetViews>
    <sheetView view="pageBreakPreview" zoomScale="110" zoomScaleNormal="75" zoomScaleSheetLayoutView="110" workbookViewId="0">
      <selection activeCell="A11" sqref="A11:B11"/>
    </sheetView>
  </sheetViews>
  <sheetFormatPr defaultRowHeight="12.75" x14ac:dyDescent="0.2"/>
  <cols>
    <col min="1" max="1" width="3.5703125" style="24" bestFit="1" customWidth="1"/>
    <col min="2" max="2" width="1" style="23" customWidth="1"/>
    <col min="3" max="3" width="1.5703125" style="23" customWidth="1"/>
    <col min="4" max="4" width="12.85546875" style="23" customWidth="1"/>
    <col min="5" max="5" width="1.42578125" style="23" bestFit="1" customWidth="1"/>
    <col min="6" max="6" width="6.7109375" style="23" customWidth="1"/>
    <col min="7" max="9" width="2.7109375" style="23" customWidth="1"/>
    <col min="10" max="10" width="0.85546875" style="23" customWidth="1"/>
    <col min="11" max="11" width="2.28515625" style="23" customWidth="1"/>
    <col min="12" max="12" width="2.140625" style="23" customWidth="1"/>
    <col min="13" max="13" width="0.85546875" style="24" customWidth="1"/>
    <col min="14" max="16" width="2.7109375" style="24" customWidth="1"/>
    <col min="17" max="17" width="1.42578125" style="24" customWidth="1"/>
    <col min="18" max="18" width="3.5703125" style="24" bestFit="1" customWidth="1"/>
    <col min="19" max="19" width="1" style="24" customWidth="1"/>
    <col min="20" max="20" width="1.5703125" style="24" customWidth="1"/>
    <col min="21" max="21" width="12.85546875" style="24" customWidth="1"/>
    <col min="22" max="22" width="1.42578125" style="24" bestFit="1" customWidth="1"/>
    <col min="23" max="23" width="6.7109375" style="24" customWidth="1"/>
    <col min="24" max="26" width="2.7109375" style="24" customWidth="1"/>
    <col min="27" max="27" width="0.85546875" style="24" customWidth="1"/>
    <col min="28" max="28" width="2.28515625" style="24" customWidth="1"/>
    <col min="29" max="29" width="2.140625" style="24" customWidth="1"/>
    <col min="30" max="30" width="0.85546875" style="24" customWidth="1"/>
    <col min="31" max="33" width="2.7109375" style="24" customWidth="1"/>
    <col min="34" max="34" width="3.7109375" style="65" hidden="1" customWidth="1"/>
    <col min="35" max="35" width="12.42578125" style="181" hidden="1" customWidth="1"/>
    <col min="36" max="36" width="3" style="180" hidden="1" customWidth="1"/>
    <col min="37" max="37" width="3" style="58" hidden="1" customWidth="1"/>
    <col min="38" max="38" width="9.42578125" style="58" hidden="1" customWidth="1"/>
    <col min="39" max="39" width="2.85546875" style="49" hidden="1" customWidth="1"/>
    <col min="40" max="40" width="4.28515625" style="16" hidden="1" customWidth="1"/>
    <col min="41" max="41" width="15.42578125" style="16" hidden="1" customWidth="1"/>
    <col min="42" max="42" width="9.140625" style="16" hidden="1" customWidth="1"/>
    <col min="43" max="43" width="7" style="16" hidden="1" customWidth="1"/>
    <col min="44" max="44" width="6.140625" style="16" hidden="1" customWidth="1"/>
    <col min="45" max="46" width="9.140625" style="16" hidden="1" customWidth="1"/>
    <col min="47" max="47" width="2.85546875" style="16" hidden="1" customWidth="1"/>
    <col min="48" max="48" width="2" style="16" hidden="1" customWidth="1"/>
    <col min="49" max="49" width="2.28515625" style="16" hidden="1" customWidth="1"/>
    <col min="50" max="50" width="2.140625" style="16" hidden="1" customWidth="1"/>
    <col min="51" max="51" width="2.28515625" style="16" hidden="1" customWidth="1"/>
    <col min="52" max="52" width="3.7109375" style="16" hidden="1" customWidth="1"/>
    <col min="53" max="53" width="6.28515625" style="16" hidden="1" customWidth="1"/>
    <col min="54" max="95" width="9.140625" style="16" hidden="1" customWidth="1"/>
    <col min="96" max="96" width="10.28515625" style="16" hidden="1" customWidth="1"/>
    <col min="97" max="97" width="9.140625" style="16" hidden="1" customWidth="1"/>
    <col min="98" max="115" width="9.140625" style="16" customWidth="1"/>
    <col min="116" max="16384" width="9.140625" style="16"/>
  </cols>
  <sheetData>
    <row r="1" spans="1:133" ht="33.75" x14ac:dyDescent="0.5">
      <c r="A1" s="521" t="s">
        <v>204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63"/>
      <c r="AJ1" s="237"/>
      <c r="AK1" s="60"/>
      <c r="AL1" s="60"/>
      <c r="AM1" s="53"/>
      <c r="AN1" s="17"/>
      <c r="AO1" s="17"/>
      <c r="AP1" s="17"/>
      <c r="AQ1" s="17"/>
    </row>
    <row r="2" spans="1:133" ht="13.5" customHeight="1" x14ac:dyDescent="0.2">
      <c r="A2" s="262"/>
      <c r="B2" s="260"/>
      <c r="C2" s="260"/>
      <c r="D2" s="260"/>
      <c r="E2" s="260"/>
      <c r="F2" s="260"/>
      <c r="G2" s="260"/>
      <c r="H2" s="271"/>
      <c r="I2" s="260"/>
      <c r="J2" s="260"/>
      <c r="K2" s="260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353"/>
      <c r="Z2" s="262"/>
      <c r="AA2" s="262"/>
      <c r="AB2" s="262"/>
      <c r="AC2" s="262"/>
      <c r="AD2" s="262"/>
      <c r="AE2" s="262"/>
      <c r="AF2" s="262"/>
      <c r="AG2" s="262"/>
    </row>
    <row r="3" spans="1:133" ht="18.75" customHeight="1" thickBot="1" x14ac:dyDescent="0.3">
      <c r="A3" s="541" t="s">
        <v>9</v>
      </c>
      <c r="B3" s="542"/>
      <c r="C3" s="542"/>
      <c r="D3" s="542"/>
      <c r="E3" s="542"/>
      <c r="F3" s="542"/>
      <c r="G3" s="542"/>
      <c r="H3" s="542"/>
      <c r="I3" s="542"/>
      <c r="J3" s="542"/>
      <c r="K3" s="542"/>
      <c r="L3" s="542"/>
      <c r="M3" s="542"/>
      <c r="N3" s="542"/>
      <c r="O3" s="542"/>
      <c r="P3" s="543"/>
      <c r="R3" s="523" t="s">
        <v>10</v>
      </c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5"/>
      <c r="AH3" s="63"/>
      <c r="AI3" s="238"/>
      <c r="AM3" s="48"/>
      <c r="AO3" s="16" t="s">
        <v>97</v>
      </c>
      <c r="AP3" s="16" t="s">
        <v>98</v>
      </c>
      <c r="AS3" s="16" t="s">
        <v>99</v>
      </c>
      <c r="BB3" s="16" t="s">
        <v>100</v>
      </c>
      <c r="BD3" s="16" t="s">
        <v>101</v>
      </c>
      <c r="BF3" s="16" t="s">
        <v>102</v>
      </c>
      <c r="BI3" s="16" t="s">
        <v>103</v>
      </c>
      <c r="BL3" s="16" t="s">
        <v>104</v>
      </c>
      <c r="BO3" s="16" t="s">
        <v>105</v>
      </c>
      <c r="BS3" s="16" t="s">
        <v>106</v>
      </c>
      <c r="BW3" s="16" t="s">
        <v>107</v>
      </c>
      <c r="CA3" s="16" t="s">
        <v>108</v>
      </c>
    </row>
    <row r="4" spans="1:133" ht="12.95" customHeight="1" x14ac:dyDescent="0.2">
      <c r="A4" s="28"/>
      <c r="B4" s="24"/>
      <c r="C4" s="24"/>
      <c r="D4" s="24"/>
      <c r="E4" s="24"/>
      <c r="F4" s="24"/>
      <c r="G4" s="338" t="s">
        <v>109</v>
      </c>
      <c r="H4" s="338" t="s">
        <v>110</v>
      </c>
      <c r="I4" s="338" t="s">
        <v>111</v>
      </c>
      <c r="J4" s="522" t="s">
        <v>112</v>
      </c>
      <c r="K4" s="522"/>
      <c r="L4" s="522" t="s">
        <v>113</v>
      </c>
      <c r="M4" s="522"/>
      <c r="N4" s="522"/>
      <c r="O4" s="338" t="str">
        <f>T("+/-")</f>
        <v>+/-</v>
      </c>
      <c r="P4" s="245" t="s">
        <v>114</v>
      </c>
      <c r="Q4" s="27"/>
      <c r="R4" s="28"/>
      <c r="X4" s="338" t="s">
        <v>109</v>
      </c>
      <c r="Y4" s="338" t="s">
        <v>110</v>
      </c>
      <c r="Z4" s="338" t="s">
        <v>111</v>
      </c>
      <c r="AA4" s="522" t="s">
        <v>112</v>
      </c>
      <c r="AB4" s="522"/>
      <c r="AC4" s="522" t="s">
        <v>113</v>
      </c>
      <c r="AD4" s="522"/>
      <c r="AE4" s="522"/>
      <c r="AF4" s="338" t="str">
        <f>T("+/-")</f>
        <v>+/-</v>
      </c>
      <c r="AG4" s="245" t="s">
        <v>114</v>
      </c>
      <c r="AI4" s="66"/>
      <c r="AJ4" s="67"/>
      <c r="AK4" s="66"/>
      <c r="AL4" s="66"/>
      <c r="AM4" s="47"/>
      <c r="AN4" s="37"/>
    </row>
    <row r="5" spans="1:133" ht="12.95" customHeight="1" x14ac:dyDescent="0.2">
      <c r="A5" s="516" t="s">
        <v>115</v>
      </c>
      <c r="B5" s="517"/>
      <c r="C5" s="118" t="e">
        <f>CH8</f>
        <v>#REF!</v>
      </c>
      <c r="D5" s="118"/>
      <c r="E5" s="118"/>
      <c r="F5" s="118"/>
      <c r="G5" s="334" t="e">
        <f>CI8</f>
        <v>#REF!</v>
      </c>
      <c r="H5" s="334" t="e">
        <f>CJ8</f>
        <v>#REF!</v>
      </c>
      <c r="I5" s="334" t="e">
        <f>CL8</f>
        <v>#REF!</v>
      </c>
      <c r="J5" s="513" t="e">
        <f>CK8</f>
        <v>#REF!</v>
      </c>
      <c r="K5" s="513"/>
      <c r="L5" s="167" t="e">
        <f>CM8</f>
        <v>#REF!</v>
      </c>
      <c r="M5" s="334" t="s">
        <v>16</v>
      </c>
      <c r="N5" s="282" t="e">
        <f>CN8</f>
        <v>#REF!</v>
      </c>
      <c r="O5" s="334" t="e">
        <f>CO8</f>
        <v>#REF!</v>
      </c>
      <c r="P5" s="306" t="e">
        <f>SUM(H5*3+I5*1)</f>
        <v>#REF!</v>
      </c>
      <c r="Q5" s="167"/>
      <c r="R5" s="516" t="s">
        <v>115</v>
      </c>
      <c r="S5" s="517"/>
      <c r="T5" s="118" t="e">
        <f>CH15</f>
        <v>#REF!</v>
      </c>
      <c r="U5" s="118"/>
      <c r="V5" s="118"/>
      <c r="W5" s="118"/>
      <c r="X5" s="342" t="e">
        <f t="shared" ref="X5:Y8" si="0">CI15</f>
        <v>#REF!</v>
      </c>
      <c r="Y5" s="342" t="e">
        <f t="shared" si="0"/>
        <v>#REF!</v>
      </c>
      <c r="Z5" s="334" t="e">
        <f>CL15</f>
        <v>#REF!</v>
      </c>
      <c r="AA5" s="544" t="e">
        <f>CK15</f>
        <v>#REF!</v>
      </c>
      <c r="AB5" s="544"/>
      <c r="AC5" s="168" t="e">
        <f>CM15</f>
        <v>#REF!</v>
      </c>
      <c r="AD5" s="334" t="s">
        <v>16</v>
      </c>
      <c r="AE5" s="169" t="e">
        <f t="shared" ref="AE5:AF8" si="1">CN15</f>
        <v>#REF!</v>
      </c>
      <c r="AF5" s="342" t="e">
        <f t="shared" si="1"/>
        <v>#REF!</v>
      </c>
      <c r="AG5" s="306" t="e">
        <f>SUM(Y5*3+Z5*1)</f>
        <v>#REF!</v>
      </c>
      <c r="AH5" s="63"/>
      <c r="AI5" s="68"/>
      <c r="AJ5" s="67"/>
      <c r="AK5" s="68"/>
      <c r="AL5" s="68"/>
      <c r="AM5" s="48"/>
      <c r="AN5" s="38"/>
      <c r="CR5" s="19"/>
    </row>
    <row r="6" spans="1:133" ht="12.95" customHeight="1" thickBot="1" x14ac:dyDescent="0.25">
      <c r="A6" s="516" t="s">
        <v>116</v>
      </c>
      <c r="B6" s="517"/>
      <c r="C6" s="118" t="e">
        <f>CH9</f>
        <v>#REF!</v>
      </c>
      <c r="D6" s="118"/>
      <c r="E6" s="118"/>
      <c r="F6" s="118"/>
      <c r="G6" s="334" t="e">
        <f t="shared" ref="G6:H8" si="2">CI9</f>
        <v>#REF!</v>
      </c>
      <c r="H6" s="334" t="e">
        <f t="shared" si="2"/>
        <v>#REF!</v>
      </c>
      <c r="I6" s="334" t="e">
        <f>CL9</f>
        <v>#REF!</v>
      </c>
      <c r="J6" s="513" t="e">
        <f>CK9</f>
        <v>#REF!</v>
      </c>
      <c r="K6" s="513"/>
      <c r="L6" s="167" t="e">
        <f>CM9</f>
        <v>#REF!</v>
      </c>
      <c r="M6" s="334" t="s">
        <v>16</v>
      </c>
      <c r="N6" s="282" t="e">
        <f t="shared" ref="N6:O8" si="3">CN9</f>
        <v>#REF!</v>
      </c>
      <c r="O6" s="334" t="e">
        <f t="shared" si="3"/>
        <v>#REF!</v>
      </c>
      <c r="P6" s="306" t="e">
        <f>SUM(H6*3+I6*1)</f>
        <v>#REF!</v>
      </c>
      <c r="Q6" s="167"/>
      <c r="R6" s="516" t="s">
        <v>116</v>
      </c>
      <c r="S6" s="517"/>
      <c r="T6" s="118" t="e">
        <f>CH16</f>
        <v>#REF!</v>
      </c>
      <c r="U6" s="118"/>
      <c r="V6" s="118"/>
      <c r="W6" s="118"/>
      <c r="X6" s="342" t="e">
        <f t="shared" si="0"/>
        <v>#REF!</v>
      </c>
      <c r="Y6" s="342" t="e">
        <f t="shared" si="0"/>
        <v>#REF!</v>
      </c>
      <c r="Z6" s="334" t="e">
        <f>CL16</f>
        <v>#REF!</v>
      </c>
      <c r="AA6" s="544" t="e">
        <f>CK16</f>
        <v>#REF!</v>
      </c>
      <c r="AB6" s="544"/>
      <c r="AC6" s="168" t="e">
        <f>CM16</f>
        <v>#REF!</v>
      </c>
      <c r="AD6" s="334" t="s">
        <v>16</v>
      </c>
      <c r="AE6" s="169" t="e">
        <f t="shared" si="1"/>
        <v>#REF!</v>
      </c>
      <c r="AF6" s="342" t="e">
        <f t="shared" si="1"/>
        <v>#REF!</v>
      </c>
      <c r="AG6" s="306" t="e">
        <f>SUM(Y6*3+Z6*1)</f>
        <v>#REF!</v>
      </c>
      <c r="AS6" s="16" t="s">
        <v>117</v>
      </c>
      <c r="CR6" s="19"/>
    </row>
    <row r="7" spans="1:133" ht="12.95" customHeight="1" thickBot="1" x14ac:dyDescent="0.25">
      <c r="A7" s="516" t="s">
        <v>118</v>
      </c>
      <c r="B7" s="517"/>
      <c r="C7" s="118" t="e">
        <f>CH10</f>
        <v>#REF!</v>
      </c>
      <c r="D7" s="118"/>
      <c r="E7" s="118"/>
      <c r="F7" s="118"/>
      <c r="G7" s="334" t="e">
        <f t="shared" si="2"/>
        <v>#REF!</v>
      </c>
      <c r="H7" s="334" t="e">
        <f t="shared" si="2"/>
        <v>#REF!</v>
      </c>
      <c r="I7" s="334" t="e">
        <f>CL10</f>
        <v>#REF!</v>
      </c>
      <c r="J7" s="513" t="e">
        <f>CK10</f>
        <v>#REF!</v>
      </c>
      <c r="K7" s="513"/>
      <c r="L7" s="167" t="e">
        <f>CM10</f>
        <v>#REF!</v>
      </c>
      <c r="M7" s="334" t="s">
        <v>16</v>
      </c>
      <c r="N7" s="282" t="e">
        <f t="shared" si="3"/>
        <v>#REF!</v>
      </c>
      <c r="O7" s="334" t="e">
        <f t="shared" si="3"/>
        <v>#REF!</v>
      </c>
      <c r="P7" s="306" t="e">
        <f>SUM(H7*3+I7*1)</f>
        <v>#REF!</v>
      </c>
      <c r="Q7" s="167"/>
      <c r="R7" s="516" t="s">
        <v>118</v>
      </c>
      <c r="S7" s="517"/>
      <c r="T7" s="118" t="e">
        <f>CH17</f>
        <v>#REF!</v>
      </c>
      <c r="U7" s="118"/>
      <c r="V7" s="118"/>
      <c r="W7" s="118"/>
      <c r="X7" s="342" t="e">
        <f t="shared" si="0"/>
        <v>#REF!</v>
      </c>
      <c r="Y7" s="342" t="e">
        <f t="shared" si="0"/>
        <v>#REF!</v>
      </c>
      <c r="Z7" s="334" t="e">
        <f>CL17</f>
        <v>#REF!</v>
      </c>
      <c r="AA7" s="544" t="e">
        <f>CK17</f>
        <v>#REF!</v>
      </c>
      <c r="AB7" s="544"/>
      <c r="AC7" s="168" t="e">
        <f>CM17</f>
        <v>#REF!</v>
      </c>
      <c r="AD7" s="334" t="s">
        <v>16</v>
      </c>
      <c r="AE7" s="169" t="e">
        <f t="shared" si="1"/>
        <v>#REF!</v>
      </c>
      <c r="AF7" s="342" t="e">
        <f t="shared" si="1"/>
        <v>#REF!</v>
      </c>
      <c r="AG7" s="306" t="e">
        <f>SUM(Y7*3+Z7*1)</f>
        <v>#REF!</v>
      </c>
      <c r="AH7" s="69" t="s">
        <v>119</v>
      </c>
      <c r="AI7" s="70" t="s">
        <v>120</v>
      </c>
      <c r="AJ7" s="70">
        <f>I12</f>
        <v>3</v>
      </c>
      <c r="AK7" s="232">
        <f>K12</f>
        <v>2</v>
      </c>
      <c r="AL7" s="73" t="s">
        <v>121</v>
      </c>
      <c r="AM7" s="54" t="s">
        <v>122</v>
      </c>
      <c r="AN7" s="44" t="s">
        <v>123</v>
      </c>
      <c r="AO7" s="45" t="str">
        <f>IF(AJ7&lt;&gt;"",IF(AJ7&gt;AK7,AI7,IF(AK7&gt;AJ7,AL7,"Draw")),"")</f>
        <v>Uruguay</v>
      </c>
      <c r="AP7" s="45" t="str">
        <f>IF(AJ7&lt;&gt;"",IF(AJ7&lt;AK7,AI7,IF(AK7&lt;AJ7,AL7,"Draw")),"")</f>
        <v>Denmark</v>
      </c>
      <c r="AQ7" s="45"/>
      <c r="AT7" s="16" t="s">
        <v>124</v>
      </c>
      <c r="AU7" s="16" t="s">
        <v>110</v>
      </c>
      <c r="AV7" s="16" t="s">
        <v>125</v>
      </c>
      <c r="AW7" s="16" t="s">
        <v>126</v>
      </c>
      <c r="AX7" s="16" t="s">
        <v>127</v>
      </c>
      <c r="AY7" s="16" t="s">
        <v>123</v>
      </c>
      <c r="AZ7" s="16" t="s">
        <v>128</v>
      </c>
      <c r="BA7" s="16" t="s">
        <v>129</v>
      </c>
      <c r="BB7" s="16" t="s">
        <v>130</v>
      </c>
      <c r="BC7" s="20" t="s">
        <v>129</v>
      </c>
      <c r="BD7" s="16" t="s">
        <v>130</v>
      </c>
      <c r="BE7" s="20" t="s">
        <v>129</v>
      </c>
      <c r="BF7" s="16" t="s">
        <v>130</v>
      </c>
      <c r="BG7" s="20" t="s">
        <v>129</v>
      </c>
      <c r="BH7" s="20" t="s">
        <v>128</v>
      </c>
      <c r="BI7" s="16" t="s">
        <v>130</v>
      </c>
      <c r="BJ7" s="16" t="s">
        <v>129</v>
      </c>
      <c r="BK7" s="20" t="s">
        <v>128</v>
      </c>
      <c r="BL7" s="16" t="s">
        <v>130</v>
      </c>
      <c r="BM7" s="16" t="s">
        <v>129</v>
      </c>
      <c r="BN7" s="20" t="s">
        <v>128</v>
      </c>
      <c r="BO7" s="16" t="s">
        <v>130</v>
      </c>
      <c r="BP7" s="16" t="s">
        <v>129</v>
      </c>
      <c r="BQ7" s="20" t="s">
        <v>128</v>
      </c>
      <c r="BR7" s="20" t="s">
        <v>127</v>
      </c>
      <c r="BS7" s="16" t="s">
        <v>130</v>
      </c>
      <c r="BT7" s="16" t="s">
        <v>129</v>
      </c>
      <c r="BU7" s="20" t="s">
        <v>128</v>
      </c>
      <c r="BV7" s="20" t="s">
        <v>127</v>
      </c>
      <c r="BW7" s="16" t="s">
        <v>130</v>
      </c>
      <c r="BX7" s="16" t="s">
        <v>129</v>
      </c>
      <c r="BY7" s="20" t="s">
        <v>128</v>
      </c>
      <c r="BZ7" s="20" t="s">
        <v>127</v>
      </c>
      <c r="CA7" s="16" t="s">
        <v>130</v>
      </c>
      <c r="CB7" s="20" t="s">
        <v>129</v>
      </c>
      <c r="CC7" s="20" t="s">
        <v>128</v>
      </c>
      <c r="CD7" s="20" t="s">
        <v>127</v>
      </c>
      <c r="CI7" s="20" t="s">
        <v>131</v>
      </c>
      <c r="CJ7" s="20" t="s">
        <v>110</v>
      </c>
      <c r="CK7" s="20" t="s">
        <v>125</v>
      </c>
      <c r="CL7" s="20" t="s">
        <v>126</v>
      </c>
      <c r="CM7" s="20" t="s">
        <v>127</v>
      </c>
      <c r="CN7" s="20" t="s">
        <v>123</v>
      </c>
      <c r="CO7" s="20" t="s">
        <v>128</v>
      </c>
      <c r="CP7" s="20" t="s">
        <v>129</v>
      </c>
      <c r="CR7" s="21" t="e">
        <f>#REF!</f>
        <v>#REF!</v>
      </c>
    </row>
    <row r="8" spans="1:133" ht="12.95" customHeight="1" thickBot="1" x14ac:dyDescent="0.25">
      <c r="A8" s="516" t="s">
        <v>132</v>
      </c>
      <c r="B8" s="517"/>
      <c r="C8" s="118" t="e">
        <f>CH11</f>
        <v>#REF!</v>
      </c>
      <c r="D8" s="118"/>
      <c r="E8" s="118"/>
      <c r="F8" s="118"/>
      <c r="G8" s="334" t="e">
        <f t="shared" si="2"/>
        <v>#REF!</v>
      </c>
      <c r="H8" s="334" t="e">
        <f t="shared" si="2"/>
        <v>#REF!</v>
      </c>
      <c r="I8" s="334" t="e">
        <f>CL11</f>
        <v>#REF!</v>
      </c>
      <c r="J8" s="513" t="e">
        <f>CK11</f>
        <v>#REF!</v>
      </c>
      <c r="K8" s="513"/>
      <c r="L8" s="167" t="e">
        <f>CM11</f>
        <v>#REF!</v>
      </c>
      <c r="M8" s="334" t="s">
        <v>16</v>
      </c>
      <c r="N8" s="282" t="e">
        <f t="shared" si="3"/>
        <v>#REF!</v>
      </c>
      <c r="O8" s="334" t="e">
        <f t="shared" si="3"/>
        <v>#REF!</v>
      </c>
      <c r="P8" s="306" t="e">
        <f>SUM(H8*3+I8*1)</f>
        <v>#REF!</v>
      </c>
      <c r="Q8" s="167"/>
      <c r="R8" s="516" t="s">
        <v>132</v>
      </c>
      <c r="S8" s="517"/>
      <c r="T8" s="118" t="e">
        <f>CH18</f>
        <v>#REF!</v>
      </c>
      <c r="U8" s="118"/>
      <c r="V8" s="118"/>
      <c r="W8" s="118"/>
      <c r="X8" s="342" t="e">
        <f t="shared" si="0"/>
        <v>#REF!</v>
      </c>
      <c r="Y8" s="342" t="e">
        <f t="shared" si="0"/>
        <v>#REF!</v>
      </c>
      <c r="Z8" s="334" t="e">
        <f>CL18</f>
        <v>#REF!</v>
      </c>
      <c r="AA8" s="544" t="e">
        <f>CK18</f>
        <v>#REF!</v>
      </c>
      <c r="AB8" s="544"/>
      <c r="AC8" s="168" t="e">
        <f>CM18</f>
        <v>#REF!</v>
      </c>
      <c r="AD8" s="334" t="s">
        <v>16</v>
      </c>
      <c r="AE8" s="169" t="e">
        <f t="shared" si="1"/>
        <v>#REF!</v>
      </c>
      <c r="AF8" s="342" t="e">
        <f t="shared" si="1"/>
        <v>#REF!</v>
      </c>
      <c r="AG8" s="306" t="e">
        <f>SUM(Y8*3+Z8*1)</f>
        <v>#REF!</v>
      </c>
      <c r="AH8" s="70" t="s">
        <v>133</v>
      </c>
      <c r="AI8" s="70" t="s">
        <v>134</v>
      </c>
      <c r="AJ8" s="70" t="e">
        <f>#REF!</f>
        <v>#REF!</v>
      </c>
      <c r="AK8" s="232" t="e">
        <f>#REF!</f>
        <v>#REF!</v>
      </c>
      <c r="AL8" s="73" t="s">
        <v>135</v>
      </c>
      <c r="AM8" s="51" t="s">
        <v>136</v>
      </c>
      <c r="AN8" s="44" t="s">
        <v>137</v>
      </c>
      <c r="AO8" s="45" t="e">
        <f t="shared" ref="AO8:AO30" si="4">IF(AJ8&lt;&gt;"",IF(AJ8&gt;AK8,AI8,IF(AK8&gt;AJ8,AL8,"Draw")),"")</f>
        <v>#REF!</v>
      </c>
      <c r="AP8" s="45" t="e">
        <f t="shared" ref="AP8:AP30" si="5">IF(AJ8&lt;&gt;"",IF(AJ8&lt;AK8,AI8,IF(AK8&lt;AJ8,AL8,"Draw")),"")</f>
        <v>#REF!</v>
      </c>
      <c r="AQ8" s="45"/>
      <c r="AS8" s="16" t="e">
        <f>KWALIFICATIE!#REF!</f>
        <v>#REF!</v>
      </c>
      <c r="AT8" s="16">
        <f>COUNT(France_Played)</f>
        <v>2</v>
      </c>
      <c r="AU8" s="16">
        <f>COUNTIF(Groupstage_Winners,"France")</f>
        <v>1</v>
      </c>
      <c r="AV8" s="16">
        <f>COUNTIF(Groupstage_Losers,"France")</f>
        <v>1</v>
      </c>
      <c r="AW8" s="16">
        <f>AT8-(AU8+AV8)</f>
        <v>0</v>
      </c>
      <c r="AX8" s="16" t="e">
        <f>SUM(France_Played)</f>
        <v>#REF!</v>
      </c>
      <c r="AY8" s="16">
        <f>SUM(France_Against)</f>
        <v>0</v>
      </c>
      <c r="AZ8" s="16" t="e">
        <f>AX8-AY8</f>
        <v>#REF!</v>
      </c>
      <c r="BA8" s="16">
        <f>SUM((AU8*3)+(AW8*1))</f>
        <v>3</v>
      </c>
      <c r="BB8" s="16" t="e">
        <f>IF($BA8&gt;=$BA9,$AS8,$AS9)</f>
        <v>#REF!</v>
      </c>
      <c r="BC8" s="16" t="e">
        <f>VLOOKUP($BB8,$AS8:$BA11,9,FALSE)</f>
        <v>#REF!</v>
      </c>
      <c r="BD8" s="16" t="e">
        <f>IF($BC8&gt;=$BC10,$BB8,$BB10)</f>
        <v>#REF!</v>
      </c>
      <c r="BE8" s="16" t="e">
        <f>VLOOKUP($BD8,$AS8:$BA11,9,FALSE)</f>
        <v>#REF!</v>
      </c>
      <c r="BF8" s="16" t="e">
        <f>IF($BE8&gt;=$BE11,$BD8,$BD11)</f>
        <v>#REF!</v>
      </c>
      <c r="BG8" s="16" t="e">
        <f>VLOOKUP($BF8,$AS8:$BA11,9,FALSE)</f>
        <v>#REF!</v>
      </c>
      <c r="BH8" s="16" t="e">
        <f>VLOOKUP($BF8,$AS8:$BA11,8,FALSE)</f>
        <v>#REF!</v>
      </c>
      <c r="BI8" s="16" t="e">
        <f>IF(AND($BG8=$BG9,$BH9&gt;$BH8),$BF9,$BF8)</f>
        <v>#REF!</v>
      </c>
      <c r="BJ8" s="16" t="e">
        <f>VLOOKUP($BI8,$AS8:$BA11,9,FALSE)</f>
        <v>#REF!</v>
      </c>
      <c r="BK8" s="16" t="e">
        <f>VLOOKUP($BI8,$AS8:$BA11,8,FALSE)</f>
        <v>#REF!</v>
      </c>
      <c r="BL8" s="16" t="e">
        <f>IF(AND($BJ8=$BJ10,$BK10&gt;$BK8),$BI10,$BI8)</f>
        <v>#REF!</v>
      </c>
      <c r="BM8" s="16" t="e">
        <f>VLOOKUP($BL8,$AS8:$BA11,9,FALSE)</f>
        <v>#REF!</v>
      </c>
      <c r="BN8" s="16" t="e">
        <f>VLOOKUP($BL8,$AS8:$BA11,8,FALSE)</f>
        <v>#REF!</v>
      </c>
      <c r="BO8" s="16" t="e">
        <f>IF(AND($BM8=$BM11,$BN11&gt;$BN8),$BL11,$BL8)</f>
        <v>#REF!</v>
      </c>
      <c r="BP8" s="16" t="e">
        <f>VLOOKUP($BO8,$AS8:$BA11,9,FALSE)</f>
        <v>#REF!</v>
      </c>
      <c r="BQ8" s="16" t="e">
        <f>VLOOKUP($BO8,$AS8:$BA11,8,FALSE)</f>
        <v>#REF!</v>
      </c>
      <c r="BR8" s="16" t="e">
        <f>VLOOKUP($BO8,$AS8:$BA11,6,FALSE)</f>
        <v>#REF!</v>
      </c>
      <c r="BS8" s="16" t="e">
        <f>IF(AND($BP8=$BP9,$BQ8=$BQ9,$BR9&gt;$BR8),$BO9,$BO8)</f>
        <v>#REF!</v>
      </c>
      <c r="BT8" s="16" t="e">
        <f>VLOOKUP($BS8,$AS8:$BA11,9,FALSE)</f>
        <v>#REF!</v>
      </c>
      <c r="BU8" s="16" t="e">
        <f>VLOOKUP($BS8,$AS8:$BA11,8,FALSE)</f>
        <v>#REF!</v>
      </c>
      <c r="BV8" s="16" t="e">
        <f>VLOOKUP($BS8,$AS8:$BA11,6,FALSE)</f>
        <v>#REF!</v>
      </c>
      <c r="BW8" s="16" t="e">
        <f>IF(AND($BT8=$BT10,$BU8=$BU10,$BV10&gt;$BV8),$BS10,$BS8)</f>
        <v>#REF!</v>
      </c>
      <c r="BX8" s="16" t="e">
        <f>VLOOKUP($BW8,$AS8:$BA11,9,FALSE)</f>
        <v>#REF!</v>
      </c>
      <c r="BY8" s="16" t="e">
        <f>VLOOKUP($BW8,$AS8:$BA11,8,FALSE)</f>
        <v>#REF!</v>
      </c>
      <c r="BZ8" s="16" t="e">
        <f>VLOOKUP($BW8,$AS8:$BA11,6,FALSE)</f>
        <v>#REF!</v>
      </c>
      <c r="CA8" s="16" t="e">
        <f>IF(AND($BX8=$BX11,$BY8=$BY11,$BZ11&gt;$BZ8),$BW11,$BW8)</f>
        <v>#REF!</v>
      </c>
      <c r="CB8" s="16" t="e">
        <f>VLOOKUP($CA8,$AS8:$BA11,9,FALSE)</f>
        <v>#REF!</v>
      </c>
      <c r="CC8" s="16" t="e">
        <f>VLOOKUP($CA8,$AS8:$BA11,8,FALSE)</f>
        <v>#REF!</v>
      </c>
      <c r="CD8" s="16" t="e">
        <f>VLOOKUP($CA8,$AS8:$BA11,6,FALSE)</f>
        <v>#REF!</v>
      </c>
      <c r="CH8" s="16" t="e">
        <f>CA8</f>
        <v>#REF!</v>
      </c>
      <c r="CI8" s="16" t="e">
        <f>VLOOKUP($CH8,$AS8:$BA11,2,FALSE)</f>
        <v>#REF!</v>
      </c>
      <c r="CJ8" s="16" t="e">
        <f>VLOOKUP($CH8,$AS8:$BA11,3,FALSE)</f>
        <v>#REF!</v>
      </c>
      <c r="CK8" s="16" t="e">
        <f>VLOOKUP($CH8,$AS8:$BA11,4,FALSE)</f>
        <v>#REF!</v>
      </c>
      <c r="CL8" s="16" t="e">
        <f>VLOOKUP($CH8,$AS8:$BA11,5,FALSE)</f>
        <v>#REF!</v>
      </c>
      <c r="CM8" s="16" t="e">
        <f>VLOOKUP($CH8,$AS8:$BA11,6,FALSE)</f>
        <v>#REF!</v>
      </c>
      <c r="CN8" s="16" t="e">
        <f>VLOOKUP($CH8,$AS8:$BA11,7,FALSE)</f>
        <v>#REF!</v>
      </c>
      <c r="CO8" s="16" t="e">
        <f>VLOOKUP($CH8,$AS8:$BA11,8,FALSE)</f>
        <v>#REF!</v>
      </c>
      <c r="CP8" s="16" t="e">
        <f>VLOOKUP($CH8,$AS8:$BA11,9,FALSE)</f>
        <v>#REF!</v>
      </c>
      <c r="CR8" s="21" t="e">
        <f>#REF!</f>
        <v>#REF!</v>
      </c>
    </row>
    <row r="9" spans="1:133" ht="7.5" customHeight="1" thickBot="1" x14ac:dyDescent="0.25">
      <c r="A9" s="28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P9" s="32"/>
      <c r="R9" s="28"/>
      <c r="AG9" s="32"/>
      <c r="AH9" s="70" t="s">
        <v>138</v>
      </c>
      <c r="AI9" s="70" t="s">
        <v>139</v>
      </c>
      <c r="AJ9" s="70" t="e">
        <f>I11</f>
        <v>#REF!</v>
      </c>
      <c r="AK9" s="232">
        <f>K11</f>
        <v>0</v>
      </c>
      <c r="AL9" s="73" t="s">
        <v>140</v>
      </c>
      <c r="AM9" s="55" t="s">
        <v>141</v>
      </c>
      <c r="AN9" s="44" t="s">
        <v>123</v>
      </c>
      <c r="AO9" s="45" t="e">
        <f>IF(AJ9&lt;&gt;"",IF(AJ9&gt;AK9,AI9,IF(AK9&gt;AJ9,AL9,"Draw")),"")</f>
        <v>#REF!</v>
      </c>
      <c r="AP9" s="45" t="e">
        <f>IF(AJ9&lt;&gt;"",IF(AJ9&lt;AK9,AI9,IF(AK9&lt;AJ9,AL9,"Draw")),"")</f>
        <v>#REF!</v>
      </c>
      <c r="AS9" s="16" t="e">
        <f>KWALIFICATIE!#REF!</f>
        <v>#REF!</v>
      </c>
      <c r="AT9" s="16">
        <f>COUNT(Senegal_Played)</f>
        <v>3</v>
      </c>
      <c r="AU9" s="16">
        <f>COUNTIF(Groupstage_Winners,"Senegal")</f>
        <v>1</v>
      </c>
      <c r="AV9" s="16">
        <f>COUNTIF(Groupstage_Losers,"Senegal")</f>
        <v>0</v>
      </c>
      <c r="AW9" s="16">
        <f>AT9-(AU9+AV9)</f>
        <v>2</v>
      </c>
      <c r="AX9" s="16">
        <f>SUM(Senegal_Played)</f>
        <v>2</v>
      </c>
      <c r="AY9" s="16" t="e">
        <f>SUM(Senegal_Against)</f>
        <v>#REF!</v>
      </c>
      <c r="AZ9" s="16" t="e">
        <f>AX9-AY9</f>
        <v>#REF!</v>
      </c>
      <c r="BA9" s="16">
        <f t="shared" ref="BA9:BA11" si="6">SUM((AU9*3)+(AW9*1))</f>
        <v>5</v>
      </c>
      <c r="BB9" s="16" t="e">
        <f>IF($BA9&lt;=$BA8,$AS9,$AS8)</f>
        <v>#REF!</v>
      </c>
      <c r="BC9" s="16" t="e">
        <f>VLOOKUP($BB9,$AS8:$BA11,9,FALSE)</f>
        <v>#REF!</v>
      </c>
      <c r="BD9" s="16" t="e">
        <f>IF(BC9&gt;=BC11,BB9,BB11)</f>
        <v>#REF!</v>
      </c>
      <c r="BE9" s="16" t="e">
        <f>VLOOKUP($BD9,$AS8:$BA11,9,FALSE)</f>
        <v>#REF!</v>
      </c>
      <c r="BF9" s="16" t="e">
        <f>IF($BE9&gt;=$BE10,$BD9,$BD10)</f>
        <v>#REF!</v>
      </c>
      <c r="BG9" s="16" t="e">
        <f>VLOOKUP($BF9,$AS8:$BA11,9,FALSE)</f>
        <v>#REF!</v>
      </c>
      <c r="BH9" s="16" t="e">
        <f>VLOOKUP($BF9,$AS8:$BA11,8,FALSE)</f>
        <v>#REF!</v>
      </c>
      <c r="BI9" s="16" t="e">
        <f>IF(AND($BG8=$BG9,$BH9&gt;$BH8),$BF8,$BF9)</f>
        <v>#REF!</v>
      </c>
      <c r="BJ9" s="16" t="e">
        <f>VLOOKUP($BI9,$AS8:$BA11,9,FALSE)</f>
        <v>#REF!</v>
      </c>
      <c r="BK9" s="16" t="e">
        <f>VLOOKUP($BI9,$AS8:$BA11,8,FALSE)</f>
        <v>#REF!</v>
      </c>
      <c r="BL9" s="16" t="e">
        <f>IF(AND($BJ9=$BJ11,$BK11&gt;$BK9),$BI11,$BI9)</f>
        <v>#REF!</v>
      </c>
      <c r="BM9" s="16" t="e">
        <f>VLOOKUP($BL9,$AS8:$BA11,9,FALSE)</f>
        <v>#REF!</v>
      </c>
      <c r="BN9" s="16" t="e">
        <f>VLOOKUP($BL9,$AS8:$BA11,8,FALSE)</f>
        <v>#REF!</v>
      </c>
      <c r="BO9" s="16" t="e">
        <f>IF(AND($BM9=$BM10,$BN10&gt;$BN9),$BL10,$BL9)</f>
        <v>#REF!</v>
      </c>
      <c r="BP9" s="16" t="e">
        <f>VLOOKUP($BO9,$AS8:$BA11,9,FALSE)</f>
        <v>#REF!</v>
      </c>
      <c r="BQ9" s="16" t="e">
        <f>VLOOKUP($BO9,$AS8:$BA11,8,FALSE)</f>
        <v>#REF!</v>
      </c>
      <c r="BR9" s="16" t="e">
        <f>VLOOKUP($BO9,$AS8:$BA11,6,FALSE)</f>
        <v>#REF!</v>
      </c>
      <c r="BS9" s="16" t="e">
        <f>IF(AND($BP8=$BP9,$BQ8=$BQ9,$BR9&gt;$BR8),$BO8,$BO9)</f>
        <v>#REF!</v>
      </c>
      <c r="BT9" s="16" t="e">
        <f>VLOOKUP($BS9,$AS8:$BA11,9,FALSE)</f>
        <v>#REF!</v>
      </c>
      <c r="BU9" s="16" t="e">
        <f>VLOOKUP($BS9,$AS8:$BA11,8,FALSE)</f>
        <v>#REF!</v>
      </c>
      <c r="BV9" s="16" t="e">
        <f>VLOOKUP($BS9,$AS8:$BA11,6,FALSE)</f>
        <v>#REF!</v>
      </c>
      <c r="BW9" s="16" t="e">
        <f>IF(AND($BT9=$BT11,$BU9=$BU11,$BV11&gt;$BV9),$BS11,$BS9)</f>
        <v>#REF!</v>
      </c>
      <c r="BX9" s="16" t="e">
        <f>VLOOKUP($BW9,$AS8:$BA11,9,FALSE)</f>
        <v>#REF!</v>
      </c>
      <c r="BY9" s="16" t="e">
        <f>VLOOKUP($BW9,$AS8:$BA11,8,FALSE)</f>
        <v>#REF!</v>
      </c>
      <c r="BZ9" s="16" t="e">
        <f>VLOOKUP($BW9,$AS8:$BA11,6,FALSE)</f>
        <v>#REF!</v>
      </c>
      <c r="CA9" s="16" t="e">
        <f>IF(AND($BX9=$BX10,$BY9=$BY10,$BZ10&gt;$BZ9),$BW10,$BW9)</f>
        <v>#REF!</v>
      </c>
      <c r="CB9" s="16" t="e">
        <f>VLOOKUP($CA9,$AS8:$BA11,9,FALSE)</f>
        <v>#REF!</v>
      </c>
      <c r="CC9" s="16" t="e">
        <f>VLOOKUP($CA9,$AS8:$BA11,8,FALSE)</f>
        <v>#REF!</v>
      </c>
      <c r="CD9" s="16" t="e">
        <f>VLOOKUP($CA9,$AS8:$BA11,6,FALSE)</f>
        <v>#REF!</v>
      </c>
      <c r="CH9" s="16" t="e">
        <f>CA9</f>
        <v>#REF!</v>
      </c>
      <c r="CI9" s="16" t="e">
        <f>VLOOKUP($CH9,$AS8:$BA11,2,FALSE)</f>
        <v>#REF!</v>
      </c>
      <c r="CJ9" s="16" t="e">
        <f>VLOOKUP($CH9,$AS8:$BA11,3,FALSE)</f>
        <v>#REF!</v>
      </c>
      <c r="CK9" s="16" t="e">
        <f>VLOOKUP($CH9,$AS8:$BA11,4,FALSE)</f>
        <v>#REF!</v>
      </c>
      <c r="CL9" s="16" t="e">
        <f>VLOOKUP($CH9,$AS8:$BA11,5,FALSE)</f>
        <v>#REF!</v>
      </c>
      <c r="CM9" s="16" t="e">
        <f>VLOOKUP($CH9,$AS8:$BA11,6,FALSE)</f>
        <v>#REF!</v>
      </c>
      <c r="CN9" s="16" t="e">
        <f>VLOOKUP($CH9,$AS8:$BA11,7,FALSE)</f>
        <v>#REF!</v>
      </c>
      <c r="CO9" s="16" t="e">
        <f>VLOOKUP($CH9,$AS8:$BA11,8,FALSE)</f>
        <v>#REF!</v>
      </c>
      <c r="CP9" s="16" t="e">
        <f>VLOOKUP($CH9,$AS8:$BA11,9,FALSE)</f>
        <v>#REF!</v>
      </c>
      <c r="CR9" s="21" t="e">
        <f>#REF!</f>
        <v>#REF!</v>
      </c>
    </row>
    <row r="10" spans="1:133" ht="9.75" customHeight="1" thickBot="1" x14ac:dyDescent="0.25">
      <c r="A10" s="246" t="s">
        <v>85</v>
      </c>
      <c r="B10" s="339"/>
      <c r="C10" s="339"/>
      <c r="D10" s="124" t="s">
        <v>86</v>
      </c>
      <c r="E10" s="124"/>
      <c r="F10" s="124"/>
      <c r="G10" s="124"/>
      <c r="H10" s="124"/>
      <c r="I10" s="515" t="s">
        <v>15</v>
      </c>
      <c r="J10" s="515"/>
      <c r="K10" s="515"/>
      <c r="L10" s="526"/>
      <c r="M10" s="526"/>
      <c r="N10" s="526"/>
      <c r="O10" s="526"/>
      <c r="P10" s="527"/>
      <c r="R10" s="246" t="s">
        <v>85</v>
      </c>
      <c r="S10" s="339"/>
      <c r="T10" s="339"/>
      <c r="U10" s="124" t="s">
        <v>86</v>
      </c>
      <c r="V10" s="124"/>
      <c r="W10" s="124"/>
      <c r="X10" s="124"/>
      <c r="Y10" s="124"/>
      <c r="Z10" s="515" t="s">
        <v>15</v>
      </c>
      <c r="AA10" s="515"/>
      <c r="AB10" s="515"/>
      <c r="AC10" s="526"/>
      <c r="AD10" s="526"/>
      <c r="AE10" s="526"/>
      <c r="AF10" s="526"/>
      <c r="AG10" s="527"/>
      <c r="AH10" s="69" t="s">
        <v>142</v>
      </c>
      <c r="AI10" s="70" t="s">
        <v>143</v>
      </c>
      <c r="AJ10" s="70" t="e">
        <f>#REF!</f>
        <v>#REF!</v>
      </c>
      <c r="AK10" s="232" t="e">
        <f>#REF!</f>
        <v>#REF!</v>
      </c>
      <c r="AL10" s="73" t="s">
        <v>144</v>
      </c>
      <c r="AM10" s="50" t="s">
        <v>145</v>
      </c>
      <c r="AN10" s="44" t="s">
        <v>137</v>
      </c>
      <c r="AO10" s="45" t="e">
        <f t="shared" si="4"/>
        <v>#REF!</v>
      </c>
      <c r="AP10" s="45" t="e">
        <f t="shared" si="5"/>
        <v>#REF!</v>
      </c>
      <c r="AQ10" s="45"/>
      <c r="AS10" s="16" t="e">
        <f>KWALIFICATIE!#REF!</f>
        <v>#REF!</v>
      </c>
      <c r="AT10" s="16">
        <f>COUNT(Uruguay_Played)</f>
        <v>3</v>
      </c>
      <c r="AU10" s="16">
        <f>COUNTIF(Groupstage_Winners,"Uruguay")</f>
        <v>1</v>
      </c>
      <c r="AV10" s="16">
        <f>COUNTIF(Groupstage_Losers,"Uruguay")</f>
        <v>1</v>
      </c>
      <c r="AW10" s="16">
        <f>AT10-(AU10+AV10)</f>
        <v>1</v>
      </c>
      <c r="AX10" s="16">
        <f>SUM(Uruguay_Played)</f>
        <v>3</v>
      </c>
      <c r="AY10" s="16">
        <f>SUM(Uruguay_Against)</f>
        <v>7</v>
      </c>
      <c r="AZ10" s="16">
        <f>AX10-AY10</f>
        <v>-4</v>
      </c>
      <c r="BA10" s="16">
        <f t="shared" si="6"/>
        <v>4</v>
      </c>
      <c r="BB10" s="16" t="e">
        <f>IF($BA10&gt;=$BA11,$AS10,$AS11)</f>
        <v>#REF!</v>
      </c>
      <c r="BC10" s="16" t="e">
        <f>VLOOKUP($BB10,$AS8:$BA11,9,FALSE)</f>
        <v>#REF!</v>
      </c>
      <c r="BD10" s="16" t="e">
        <f>IF($BC10&lt;=$BC8,$BB10,$BB8)</f>
        <v>#REF!</v>
      </c>
      <c r="BE10" s="16" t="e">
        <f>VLOOKUP($BD10,$AS8:$BA11,9,FALSE)</f>
        <v>#REF!</v>
      </c>
      <c r="BF10" s="16" t="e">
        <f>IF($BE10&lt;=$BE9,$BD10,$BD9)</f>
        <v>#REF!</v>
      </c>
      <c r="BG10" s="16" t="e">
        <f>VLOOKUP($BF10,$AS8:$BA11,9,FALSE)</f>
        <v>#REF!</v>
      </c>
      <c r="BH10" s="16" t="e">
        <f>VLOOKUP($BF10,$AS8:$BA11,8,FALSE)</f>
        <v>#REF!</v>
      </c>
      <c r="BI10" s="16" t="e">
        <f>IF(AND($BG10=$BG11,$BH11&gt;$BH10),$BF11,$BF10)</f>
        <v>#REF!</v>
      </c>
      <c r="BJ10" s="16" t="e">
        <f>VLOOKUP($BI10,$AS8:$BA11,9,FALSE)</f>
        <v>#REF!</v>
      </c>
      <c r="BK10" s="16" t="e">
        <f>VLOOKUP($BI10,$AS8:$BA11,8,FALSE)</f>
        <v>#REF!</v>
      </c>
      <c r="BL10" s="16" t="e">
        <f>IF(AND($BJ8=$BJ10,$BK10&gt;$BK8),$BI8,$BI10)</f>
        <v>#REF!</v>
      </c>
      <c r="BM10" s="16" t="e">
        <f>VLOOKUP($BL10,$AS8:$BA11,9,FALSE)</f>
        <v>#REF!</v>
      </c>
      <c r="BN10" s="16" t="e">
        <f>VLOOKUP($BL10,$AS8:$BA11,8,FALSE)</f>
        <v>#REF!</v>
      </c>
      <c r="BO10" s="16" t="e">
        <f>IF(AND($BM9=$BM10,$BN10&gt;$BN9),$BL9,$BL10)</f>
        <v>#REF!</v>
      </c>
      <c r="BP10" s="16" t="e">
        <f>VLOOKUP($BO10,$AS8:$BA11,9,FALSE)</f>
        <v>#REF!</v>
      </c>
      <c r="BQ10" s="16" t="e">
        <f>VLOOKUP($BO10,$AS8:$BA11,8,FALSE)</f>
        <v>#REF!</v>
      </c>
      <c r="BR10" s="16" t="e">
        <f>VLOOKUP($BO10,$AS8:$BA11,6,FALSE)</f>
        <v>#REF!</v>
      </c>
      <c r="BS10" s="16" t="e">
        <f>IF(AND($BP10=$BP11,$BQ10=$BQ11,$BR11&gt;$BR10),$BO11,$BO10)</f>
        <v>#REF!</v>
      </c>
      <c r="BT10" s="16" t="e">
        <f>VLOOKUP($BS10,$AS8:$BA11,9,FALSE)</f>
        <v>#REF!</v>
      </c>
      <c r="BU10" s="16" t="e">
        <f>VLOOKUP($BS10,$AS8:$BA11,8,FALSE)</f>
        <v>#REF!</v>
      </c>
      <c r="BV10" s="16" t="e">
        <f>VLOOKUP($BS10,$AS8:$BA11,6,FALSE)</f>
        <v>#REF!</v>
      </c>
      <c r="BW10" s="16" t="e">
        <f>IF(AND($BT8=$BT10,$BU8=$BU10,$BV9&gt;$BV8),$BS8,$BS10)</f>
        <v>#REF!</v>
      </c>
      <c r="BX10" s="16" t="e">
        <f>VLOOKUP($BW10,$AS8:$BA11,9,FALSE)</f>
        <v>#REF!</v>
      </c>
      <c r="BY10" s="16" t="e">
        <f>VLOOKUP($BW10,$AS8:$BA11,8,FALSE)</f>
        <v>#REF!</v>
      </c>
      <c r="BZ10" s="16" t="e">
        <f>VLOOKUP($BW10,$AS8:$BA11,6,FALSE)</f>
        <v>#REF!</v>
      </c>
      <c r="CA10" s="16" t="e">
        <f>IF(AND($BX9=$BX10,$BY9=$BY10,$BZ10&gt;$BZ9),$BW9,$BW10)</f>
        <v>#REF!</v>
      </c>
      <c r="CB10" s="16" t="e">
        <f>VLOOKUP($CA10,$AS8:$BA11,9,FALSE)</f>
        <v>#REF!</v>
      </c>
      <c r="CC10" s="16" t="e">
        <f>VLOOKUP($CA10,$AS8:$BA11,8,FALSE)</f>
        <v>#REF!</v>
      </c>
      <c r="CD10" s="16" t="e">
        <f>VLOOKUP($CA10,$AS8:$BA11,6,FALSE)</f>
        <v>#REF!</v>
      </c>
      <c r="CH10" s="16" t="e">
        <f>CA10</f>
        <v>#REF!</v>
      </c>
      <c r="CI10" s="16" t="e">
        <f>VLOOKUP($CH10,$AS8:$BA11,2,FALSE)</f>
        <v>#REF!</v>
      </c>
      <c r="CJ10" s="16" t="e">
        <f>VLOOKUP($CH10,$AS8:$BA11,3,FALSE)</f>
        <v>#REF!</v>
      </c>
      <c r="CK10" s="16" t="e">
        <f>VLOOKUP($CH10,$AS8:$BA11,4,FALSE)</f>
        <v>#REF!</v>
      </c>
      <c r="CL10" s="16" t="e">
        <f>VLOOKUP($CH10,$AS8:$BA11,5,FALSE)</f>
        <v>#REF!</v>
      </c>
      <c r="CM10" s="16" t="e">
        <f>VLOOKUP($CH10,$AS8:$BA11,6,FALSE)</f>
        <v>#REF!</v>
      </c>
      <c r="CN10" s="16" t="e">
        <f>VLOOKUP($CH10,$AS8:$BA11,7,FALSE)</f>
        <v>#REF!</v>
      </c>
      <c r="CO10" s="16" t="e">
        <f>VLOOKUP($CH10,$AS8:$BA11,8,FALSE)</f>
        <v>#REF!</v>
      </c>
      <c r="CP10" s="16" t="e">
        <f>VLOOKUP($CH10,$AS8:$BA11,9,FALSE)</f>
        <v>#REF!</v>
      </c>
      <c r="CR10" s="21" t="e">
        <f>#REF!</f>
        <v>#REF!</v>
      </c>
    </row>
    <row r="11" spans="1:133" ht="12.95" customHeight="1" thickBot="1" x14ac:dyDescent="0.25">
      <c r="A11" s="520">
        <f>START!C4</f>
        <v>0.45833333333333331</v>
      </c>
      <c r="B11" s="518"/>
      <c r="C11" s="283"/>
      <c r="D11" s="337" t="e">
        <f>AS8</f>
        <v>#REF!</v>
      </c>
      <c r="E11" s="283" t="s">
        <v>16</v>
      </c>
      <c r="F11" s="518" t="e">
        <f>AS9</f>
        <v>#REF!</v>
      </c>
      <c r="G11" s="518"/>
      <c r="H11" s="518"/>
      <c r="I11" s="165" t="e">
        <f>KWALIFICATIE!#REF!</f>
        <v>#REF!</v>
      </c>
      <c r="J11" s="334" t="e">
        <f>KWALIFICATIE!#REF!</f>
        <v>#REF!</v>
      </c>
      <c r="K11" s="166">
        <f>KWALIFICATIE!Q28</f>
        <v>0</v>
      </c>
      <c r="L11" s="518"/>
      <c r="M11" s="518"/>
      <c r="N11" s="518"/>
      <c r="O11" s="518"/>
      <c r="P11" s="519"/>
      <c r="Q11" s="118"/>
      <c r="R11" s="520">
        <f>START!C5</f>
        <v>0.46875</v>
      </c>
      <c r="S11" s="518"/>
      <c r="T11" s="283"/>
      <c r="U11" s="337" t="e">
        <f>AS15</f>
        <v>#REF!</v>
      </c>
      <c r="V11" s="283" t="s">
        <v>16</v>
      </c>
      <c r="W11" s="518" t="e">
        <f>AS16</f>
        <v>#REF!</v>
      </c>
      <c r="X11" s="518"/>
      <c r="Y11" s="518"/>
      <c r="Z11" s="165">
        <f>KWALIFICATIE!O30</f>
        <v>2</v>
      </c>
      <c r="AA11" s="334" t="s">
        <v>16</v>
      </c>
      <c r="AB11" s="166">
        <f>KWALIFICATIE!Q30</f>
        <v>1</v>
      </c>
      <c r="AC11" s="518"/>
      <c r="AD11" s="518"/>
      <c r="AE11" s="518"/>
      <c r="AF11" s="518"/>
      <c r="AG11" s="519"/>
      <c r="AH11" s="69" t="s">
        <v>146</v>
      </c>
      <c r="AI11" s="70" t="s">
        <v>147</v>
      </c>
      <c r="AJ11" s="70" t="e">
        <f>#REF!</f>
        <v>#REF!</v>
      </c>
      <c r="AK11" s="232" t="e">
        <f>#REF!</f>
        <v>#REF!</v>
      </c>
      <c r="AL11" s="73" t="s">
        <v>148</v>
      </c>
      <c r="AM11" s="50" t="s">
        <v>149</v>
      </c>
      <c r="AN11" s="44" t="s">
        <v>127</v>
      </c>
      <c r="AO11" s="45" t="e">
        <f t="shared" si="4"/>
        <v>#REF!</v>
      </c>
      <c r="AP11" s="45" t="e">
        <f t="shared" si="5"/>
        <v>#REF!</v>
      </c>
      <c r="AQ11" s="45"/>
      <c r="AS11" s="16" t="e">
        <f>KWALIFICATIE!#REF!</f>
        <v>#REF!</v>
      </c>
      <c r="AT11" s="16">
        <f>COUNT(Denmark_Played)</f>
        <v>2</v>
      </c>
      <c r="AU11" s="16">
        <f>COUNTIF(Groupstage_Winners,"Denmark")</f>
        <v>1</v>
      </c>
      <c r="AV11" s="16">
        <f>COUNTIF(Groupstage_Losers,"Denmark")</f>
        <v>2</v>
      </c>
      <c r="AW11" s="16">
        <f>AT11-(AU11+AV11)</f>
        <v>-1</v>
      </c>
      <c r="AX11" s="16">
        <f>SUM(Denmark_Played)</f>
        <v>3</v>
      </c>
      <c r="AY11" s="16">
        <f>SUM(Denmark_Against)</f>
        <v>5</v>
      </c>
      <c r="AZ11" s="16">
        <f>AX11-AY11</f>
        <v>-2</v>
      </c>
      <c r="BA11" s="16">
        <f t="shared" si="6"/>
        <v>2</v>
      </c>
      <c r="BB11" s="16" t="e">
        <f>IF($BA11&lt;=$BA10,$AS11,$AS10)</f>
        <v>#REF!</v>
      </c>
      <c r="BC11" s="16" t="e">
        <f>VLOOKUP($BB11,$AS8:$BA11,9,FALSE)</f>
        <v>#REF!</v>
      </c>
      <c r="BD11" s="16" t="e">
        <f>IF(BC11&lt;=BC9,BB11,BB9)</f>
        <v>#REF!</v>
      </c>
      <c r="BE11" s="16" t="e">
        <f>VLOOKUP($BD11,$AS8:$BA11,9,FALSE)</f>
        <v>#REF!</v>
      </c>
      <c r="BF11" s="16" t="e">
        <f>IF($BE11&lt;=$BE8,$BD11,$BD8)</f>
        <v>#REF!</v>
      </c>
      <c r="BG11" s="16" t="e">
        <f>VLOOKUP($BF11,$AS8:$BA11,9,FALSE)</f>
        <v>#REF!</v>
      </c>
      <c r="BH11" s="16" t="e">
        <f>VLOOKUP($BF11,$AS8:$BA11,8,FALSE)</f>
        <v>#REF!</v>
      </c>
      <c r="BI11" s="16" t="e">
        <f>IF(AND($BG10=$BG11,$BH11&gt;$BH10),$BF10,$BF11)</f>
        <v>#REF!</v>
      </c>
      <c r="BJ11" s="16" t="e">
        <f>VLOOKUP($BI11,$AS8:$BA11,9,FALSE)</f>
        <v>#REF!</v>
      </c>
      <c r="BK11" s="16" t="e">
        <f>VLOOKUP($BI11,$AS8:$BA11,8,FALSE)</f>
        <v>#REF!</v>
      </c>
      <c r="BL11" s="16" t="e">
        <f>IF(AND($BJ9=$BJ11,$BK11&gt;$BK9),$BI9,$BI11)</f>
        <v>#REF!</v>
      </c>
      <c r="BM11" s="16" t="e">
        <f>VLOOKUP($BL11,$AS8:$BA11,9,FALSE)</f>
        <v>#REF!</v>
      </c>
      <c r="BN11" s="16" t="e">
        <f>VLOOKUP($BL11,$AS8:$BA11,8,FALSE)</f>
        <v>#REF!</v>
      </c>
      <c r="BO11" s="16" t="e">
        <f>IF(AND($BM8=$BM11,$BN11&gt;$BN8),$BL8,$BL11)</f>
        <v>#REF!</v>
      </c>
      <c r="BP11" s="16" t="e">
        <f>VLOOKUP($BO11,$AS8:$BA11,9,FALSE)</f>
        <v>#REF!</v>
      </c>
      <c r="BQ11" s="16" t="e">
        <f>VLOOKUP($BO11,$AS8:$BA11,8,FALSE)</f>
        <v>#REF!</v>
      </c>
      <c r="BR11" s="16" t="e">
        <f>VLOOKUP($BO11,$AS8:$BA11,6,FALSE)</f>
        <v>#REF!</v>
      </c>
      <c r="BS11" s="16" t="e">
        <f>IF(AND($BP10=$BP11,$BQ10=$BQ11,$BR11&gt;$BR10),$BO10,$BO11)</f>
        <v>#REF!</v>
      </c>
      <c r="BT11" s="16" t="e">
        <f>VLOOKUP($BS11,$AS8:$BA11,9,FALSE)</f>
        <v>#REF!</v>
      </c>
      <c r="BU11" s="16" t="e">
        <f>VLOOKUP($BS11,$AS8:$BA11,8,FALSE)</f>
        <v>#REF!</v>
      </c>
      <c r="BV11" s="16" t="e">
        <f>VLOOKUP($BS11,$AS8:$BA11,6,FALSE)</f>
        <v>#REF!</v>
      </c>
      <c r="BW11" s="16" t="e">
        <f>IF(AND($BT9=$BT11,$BU9=$BU11,$BV11&gt;$BV9),$BS9,$BS11)</f>
        <v>#REF!</v>
      </c>
      <c r="BX11" s="16" t="e">
        <f>VLOOKUP($BW11,$AS8:$BA11,9,FALSE)</f>
        <v>#REF!</v>
      </c>
      <c r="BY11" s="16" t="e">
        <f>VLOOKUP($BW11,$AS8:$BA11,8,FALSE)</f>
        <v>#REF!</v>
      </c>
      <c r="BZ11" s="16" t="e">
        <f>VLOOKUP($BW11,$AS8:$BA11,6,FALSE)</f>
        <v>#REF!</v>
      </c>
      <c r="CA11" s="16" t="e">
        <f>IF(AND($BX8=$BX11,$BY8=$BY11,$BZ11&gt;$BZ8),$BW8,$BW11)</f>
        <v>#REF!</v>
      </c>
      <c r="CB11" s="16" t="e">
        <f>VLOOKUP($CA11,$AS8:$BA11,9,FALSE)</f>
        <v>#REF!</v>
      </c>
      <c r="CC11" s="16" t="e">
        <f>VLOOKUP($CA11,$AS8:$BA11,8,FALSE)</f>
        <v>#REF!</v>
      </c>
      <c r="CD11" s="16" t="e">
        <f>VLOOKUP($CA11,$AS8:$BA11,6,FALSE)</f>
        <v>#REF!</v>
      </c>
      <c r="CH11" s="16" t="e">
        <f>CA11</f>
        <v>#REF!</v>
      </c>
      <c r="CI11" s="16" t="e">
        <f>VLOOKUP($CH11,$AS8:$BA11,2,FALSE)</f>
        <v>#REF!</v>
      </c>
      <c r="CJ11" s="16" t="e">
        <f>VLOOKUP($CH11,$AS8:$BA11,3,FALSE)</f>
        <v>#REF!</v>
      </c>
      <c r="CK11" s="16" t="e">
        <f>VLOOKUP($CH11,$AS8:$BA11,4,FALSE)</f>
        <v>#REF!</v>
      </c>
      <c r="CL11" s="16" t="e">
        <f>VLOOKUP($CH11,$AS8:$BA11,5,FALSE)</f>
        <v>#REF!</v>
      </c>
      <c r="CM11" s="16" t="e">
        <f>VLOOKUP($CH11,$AS8:$BA11,6,FALSE)</f>
        <v>#REF!</v>
      </c>
      <c r="CN11" s="16" t="e">
        <f>VLOOKUP($CH11,$AS8:$BA11,7,FALSE)</f>
        <v>#REF!</v>
      </c>
      <c r="CO11" s="16" t="e">
        <f>VLOOKUP($CH11,$AS8:$BA11,8,FALSE)</f>
        <v>#REF!</v>
      </c>
      <c r="CP11" s="16" t="e">
        <f>VLOOKUP($CH11,$AS8:$BA11,9,FALSE)</f>
        <v>#REF!</v>
      </c>
      <c r="CR11" s="21" t="e">
        <f>#REF!</f>
        <v>#REF!</v>
      </c>
    </row>
    <row r="12" spans="1:133" ht="12.95" customHeight="1" thickBot="1" x14ac:dyDescent="0.25">
      <c r="A12" s="520">
        <f>A11</f>
        <v>0.45833333333333331</v>
      </c>
      <c r="B12" s="518"/>
      <c r="C12" s="283"/>
      <c r="D12" s="24" t="e">
        <f>AS10</f>
        <v>#REF!</v>
      </c>
      <c r="E12" s="283" t="s">
        <v>16</v>
      </c>
      <c r="F12" s="518" t="e">
        <f>AS11</f>
        <v>#REF!</v>
      </c>
      <c r="G12" s="518"/>
      <c r="H12" s="518"/>
      <c r="I12" s="165">
        <f>KWALIFICATIE!O49</f>
        <v>3</v>
      </c>
      <c r="J12" s="334" t="s">
        <v>16</v>
      </c>
      <c r="K12" s="166">
        <f>KWALIFICATIE!Q49</f>
        <v>2</v>
      </c>
      <c r="L12" s="518"/>
      <c r="M12" s="518"/>
      <c r="N12" s="518"/>
      <c r="O12" s="518"/>
      <c r="P12" s="519"/>
      <c r="Q12" s="118"/>
      <c r="R12" s="520">
        <f>R11</f>
        <v>0.46875</v>
      </c>
      <c r="S12" s="518"/>
      <c r="T12" s="283"/>
      <c r="U12" s="24" t="e">
        <f>AS17</f>
        <v>#REF!</v>
      </c>
      <c r="V12" s="283" t="s">
        <v>16</v>
      </c>
      <c r="W12" s="518" t="e">
        <f>AS18</f>
        <v>#REF!</v>
      </c>
      <c r="X12" s="518"/>
      <c r="Y12" s="518"/>
      <c r="Z12" s="165">
        <f>KWALIFICATIE!O31</f>
        <v>2</v>
      </c>
      <c r="AA12" s="334" t="s">
        <v>16</v>
      </c>
      <c r="AB12" s="166">
        <f>KWALIFICATIE!Q31</f>
        <v>0</v>
      </c>
      <c r="AC12" s="518"/>
      <c r="AD12" s="518"/>
      <c r="AE12" s="518"/>
      <c r="AF12" s="518"/>
      <c r="AG12" s="519"/>
      <c r="AH12" s="69" t="s">
        <v>150</v>
      </c>
      <c r="AI12" s="70" t="s">
        <v>151</v>
      </c>
      <c r="AJ12" s="70">
        <f>Z12</f>
        <v>2</v>
      </c>
      <c r="AK12" s="232">
        <f>AB12</f>
        <v>0</v>
      </c>
      <c r="AL12" s="73" t="s">
        <v>152</v>
      </c>
      <c r="AM12" s="50" t="s">
        <v>153</v>
      </c>
      <c r="AN12" s="44" t="s">
        <v>154</v>
      </c>
      <c r="AO12" s="45" t="str">
        <f t="shared" si="4"/>
        <v>Paraguay</v>
      </c>
      <c r="AP12" s="45" t="str">
        <f t="shared" si="5"/>
        <v>South Africa</v>
      </c>
      <c r="AQ12" s="45"/>
      <c r="CR12" s="21" t="e">
        <f>#REF!</f>
        <v>#REF!</v>
      </c>
    </row>
    <row r="13" spans="1:133" ht="12.95" customHeight="1" thickBot="1" x14ac:dyDescent="0.25">
      <c r="A13" s="520">
        <f>START!C8</f>
        <v>0.5</v>
      </c>
      <c r="B13" s="518"/>
      <c r="C13" s="283"/>
      <c r="D13" s="24" t="e">
        <f>AS8</f>
        <v>#REF!</v>
      </c>
      <c r="E13" s="283" t="s">
        <v>16</v>
      </c>
      <c r="F13" s="518" t="e">
        <f>AS10</f>
        <v>#REF!</v>
      </c>
      <c r="G13" s="518"/>
      <c r="H13" s="518"/>
      <c r="I13" s="165">
        <f>KWALIFICATIE!AD48</f>
        <v>5</v>
      </c>
      <c r="J13" s="334" t="s">
        <v>16</v>
      </c>
      <c r="K13" s="166">
        <f>KWALIFICATIE!AF48</f>
        <v>0</v>
      </c>
      <c r="L13" s="518"/>
      <c r="M13" s="518"/>
      <c r="N13" s="518"/>
      <c r="O13" s="518"/>
      <c r="P13" s="519"/>
      <c r="Q13" s="118"/>
      <c r="R13" s="520">
        <f>START!C8</f>
        <v>0.5</v>
      </c>
      <c r="S13" s="518"/>
      <c r="T13" s="283"/>
      <c r="U13" s="24" t="e">
        <f>AS15</f>
        <v>#REF!</v>
      </c>
      <c r="V13" s="283" t="s">
        <v>16</v>
      </c>
      <c r="W13" s="518" t="e">
        <f>AS17</f>
        <v>#REF!</v>
      </c>
      <c r="X13" s="518"/>
      <c r="Y13" s="518"/>
      <c r="Z13" s="165">
        <f>KWALIFICATIE!O54</f>
        <v>2</v>
      </c>
      <c r="AA13" s="334" t="s">
        <v>16</v>
      </c>
      <c r="AB13" s="166">
        <f>KWALIFICATIE!Q54</f>
        <v>0</v>
      </c>
      <c r="AC13" s="518"/>
      <c r="AD13" s="518"/>
      <c r="AE13" s="518"/>
      <c r="AF13" s="518"/>
      <c r="AG13" s="519"/>
      <c r="AH13" s="69" t="s">
        <v>155</v>
      </c>
      <c r="AI13" s="70" t="s">
        <v>156</v>
      </c>
      <c r="AJ13" s="70" t="e">
        <f>#REF!</f>
        <v>#REF!</v>
      </c>
      <c r="AK13" s="232" t="e">
        <f>#REF!</f>
        <v>#REF!</v>
      </c>
      <c r="AL13" s="73" t="s">
        <v>157</v>
      </c>
      <c r="AM13" s="50" t="s">
        <v>158</v>
      </c>
      <c r="AN13" s="44" t="s">
        <v>127</v>
      </c>
      <c r="AO13" s="45" t="e">
        <f t="shared" si="4"/>
        <v>#REF!</v>
      </c>
      <c r="AP13" s="45" t="e">
        <f t="shared" si="5"/>
        <v>#REF!</v>
      </c>
      <c r="AQ13" s="45"/>
      <c r="AS13" s="16" t="s">
        <v>159</v>
      </c>
      <c r="CR13" s="21" t="e">
        <f>#REF!</f>
        <v>#REF!</v>
      </c>
      <c r="EC13" s="337"/>
    </row>
    <row r="14" spans="1:133" ht="12.95" customHeight="1" thickBot="1" x14ac:dyDescent="0.25">
      <c r="A14" s="520">
        <f>A13</f>
        <v>0.5</v>
      </c>
      <c r="B14" s="518"/>
      <c r="C14" s="283"/>
      <c r="D14" s="24" t="e">
        <f>AS11</f>
        <v>#REF!</v>
      </c>
      <c r="E14" s="283" t="s">
        <v>16</v>
      </c>
      <c r="F14" s="518" t="e">
        <f>AS9</f>
        <v>#REF!</v>
      </c>
      <c r="G14" s="518"/>
      <c r="H14" s="518"/>
      <c r="I14" s="165">
        <f>KWALIFICATIE!AD49</f>
        <v>1</v>
      </c>
      <c r="J14" s="334" t="s">
        <v>16</v>
      </c>
      <c r="K14" s="166">
        <f>KWALIFICATIE!AF49</f>
        <v>2</v>
      </c>
      <c r="L14" s="518"/>
      <c r="M14" s="518"/>
      <c r="N14" s="518"/>
      <c r="O14" s="518"/>
      <c r="P14" s="519"/>
      <c r="Q14" s="118"/>
      <c r="R14" s="520">
        <f>R13</f>
        <v>0.5</v>
      </c>
      <c r="S14" s="518"/>
      <c r="T14" s="283"/>
      <c r="U14" s="24" t="e">
        <f>AS18</f>
        <v>#REF!</v>
      </c>
      <c r="V14" s="283" t="s">
        <v>16</v>
      </c>
      <c r="W14" s="518" t="e">
        <f>AS16</f>
        <v>#REF!</v>
      </c>
      <c r="X14" s="518"/>
      <c r="Y14" s="518"/>
      <c r="Z14" s="165" t="str">
        <f>KWALIFICATIE!AQ65</f>
        <v>…</v>
      </c>
      <c r="AA14" s="334" t="s">
        <v>16</v>
      </c>
      <c r="AB14" s="166" t="str">
        <f>KWALIFICATIE!AS65</f>
        <v>…</v>
      </c>
      <c r="AC14" s="518"/>
      <c r="AD14" s="518"/>
      <c r="AE14" s="518"/>
      <c r="AF14" s="518"/>
      <c r="AG14" s="519"/>
      <c r="AH14" s="69" t="s">
        <v>160</v>
      </c>
      <c r="AI14" s="70" t="s">
        <v>161</v>
      </c>
      <c r="AJ14" s="70">
        <f>Z11</f>
        <v>2</v>
      </c>
      <c r="AK14" s="232">
        <f>AB11</f>
        <v>1</v>
      </c>
      <c r="AL14" s="73" t="s">
        <v>162</v>
      </c>
      <c r="AM14" s="50" t="s">
        <v>163</v>
      </c>
      <c r="AN14" s="44" t="s">
        <v>154</v>
      </c>
      <c r="AO14" s="45" t="str">
        <f t="shared" si="4"/>
        <v>Spain</v>
      </c>
      <c r="AP14" s="45" t="str">
        <f t="shared" si="5"/>
        <v>Slovenia</v>
      </c>
      <c r="AQ14" s="45"/>
      <c r="AT14" s="16" t="s">
        <v>124</v>
      </c>
      <c r="AU14" s="16" t="s">
        <v>110</v>
      </c>
      <c r="AV14" s="16" t="s">
        <v>125</v>
      </c>
      <c r="AW14" s="16" t="s">
        <v>126</v>
      </c>
      <c r="AX14" s="16" t="s">
        <v>127</v>
      </c>
      <c r="AY14" s="16" t="s">
        <v>123</v>
      </c>
      <c r="AZ14" s="16" t="s">
        <v>128</v>
      </c>
      <c r="BA14" s="16" t="s">
        <v>129</v>
      </c>
      <c r="CR14" s="21" t="e">
        <f>#REF!</f>
        <v>#REF!</v>
      </c>
    </row>
    <row r="15" spans="1:133" ht="12.95" customHeight="1" thickBot="1" x14ac:dyDescent="0.25">
      <c r="A15" s="520">
        <f>START!C11</f>
        <v>0.53125</v>
      </c>
      <c r="B15" s="518"/>
      <c r="C15" s="283"/>
      <c r="D15" s="24" t="e">
        <f>AS9</f>
        <v>#REF!</v>
      </c>
      <c r="E15" s="283" t="s">
        <v>16</v>
      </c>
      <c r="F15" s="518" t="e">
        <f>AS10</f>
        <v>#REF!</v>
      </c>
      <c r="G15" s="518"/>
      <c r="H15" s="518"/>
      <c r="I15" s="165">
        <f>EINDRONDE!O33</f>
        <v>0</v>
      </c>
      <c r="J15" s="334" t="s">
        <v>16</v>
      </c>
      <c r="K15" s="166">
        <f>EINDRONDE!Q33</f>
        <v>0</v>
      </c>
      <c r="L15" s="518"/>
      <c r="M15" s="518"/>
      <c r="N15" s="518"/>
      <c r="O15" s="518"/>
      <c r="P15" s="519"/>
      <c r="Q15" s="118"/>
      <c r="R15" s="520">
        <f>START!C11</f>
        <v>0.53125</v>
      </c>
      <c r="S15" s="518"/>
      <c r="T15" s="283"/>
      <c r="U15" s="24" t="e">
        <f>AS16</f>
        <v>#REF!</v>
      </c>
      <c r="V15" s="283" t="s">
        <v>16</v>
      </c>
      <c r="W15" s="518" t="e">
        <f>AS17</f>
        <v>#REF!</v>
      </c>
      <c r="X15" s="518"/>
      <c r="Y15" s="518"/>
      <c r="Z15" s="165">
        <f>KWALIFICATIE!AD62</f>
        <v>1</v>
      </c>
      <c r="AA15" s="334" t="s">
        <v>16</v>
      </c>
      <c r="AB15" s="166">
        <f>KWALIFICATIE!AF62</f>
        <v>0</v>
      </c>
      <c r="AC15" s="518"/>
      <c r="AD15" s="518"/>
      <c r="AE15" s="518"/>
      <c r="AF15" s="518"/>
      <c r="AG15" s="519"/>
      <c r="AH15" s="69" t="s">
        <v>164</v>
      </c>
      <c r="AI15" s="70" t="s">
        <v>165</v>
      </c>
      <c r="AJ15" s="70" t="e">
        <f>#REF!</f>
        <v>#REF!</v>
      </c>
      <c r="AK15" s="232" t="e">
        <f>#REF!</f>
        <v>#REF!</v>
      </c>
      <c r="AL15" s="73" t="s">
        <v>166</v>
      </c>
      <c r="AM15" s="50" t="s">
        <v>167</v>
      </c>
      <c r="AN15" s="44" t="s">
        <v>111</v>
      </c>
      <c r="AO15" s="45" t="e">
        <f t="shared" si="4"/>
        <v>#REF!</v>
      </c>
      <c r="AP15" s="45" t="e">
        <f t="shared" si="5"/>
        <v>#REF!</v>
      </c>
      <c r="AQ15" s="45"/>
      <c r="AS15" s="16" t="e">
        <f>KWALIFICATIE!#REF!</f>
        <v>#REF!</v>
      </c>
      <c r="AT15" s="16">
        <f>COUNT(Spain_Played)</f>
        <v>3</v>
      </c>
      <c r="AU15" s="16">
        <f>COUNTIF(Groupstage_Winners,"Spain")</f>
        <v>2</v>
      </c>
      <c r="AV15" s="16">
        <f>COUNTIF(Groupstage_Losers,"Spain")</f>
        <v>1</v>
      </c>
      <c r="AW15" s="16">
        <f>AT15-(AU15+AV15)</f>
        <v>0</v>
      </c>
      <c r="AX15" s="16">
        <f>SUM(Spain_Played)</f>
        <v>5</v>
      </c>
      <c r="AY15" s="16">
        <f>SUM(Spain_Against)</f>
        <v>3</v>
      </c>
      <c r="AZ15" s="16">
        <f>AX15-AY15</f>
        <v>2</v>
      </c>
      <c r="BA15" s="16">
        <f>SUM((AU15*3)+(AW15*1))</f>
        <v>6</v>
      </c>
      <c r="BB15" s="16" t="e">
        <f>IF($BA15&gt;=$BA16,$AS15,$AS16)</f>
        <v>#REF!</v>
      </c>
      <c r="BC15" s="16" t="e">
        <f>VLOOKUP($BB15,$AS15:$BA18,9,FALSE)</f>
        <v>#REF!</v>
      </c>
      <c r="BD15" s="16" t="e">
        <f>IF($BC15&gt;=$BC17,$BB15,$BB17)</f>
        <v>#REF!</v>
      </c>
      <c r="BE15" s="16" t="e">
        <f>VLOOKUP($BD15,$AS15:$BA18,9,FALSE)</f>
        <v>#REF!</v>
      </c>
      <c r="BF15" s="16" t="e">
        <f>IF($BE15&gt;=$BE18,$BD15,$BD18)</f>
        <v>#REF!</v>
      </c>
      <c r="BG15" s="16" t="e">
        <f>VLOOKUP($BF15,$AS15:$BA18,9,FALSE)</f>
        <v>#REF!</v>
      </c>
      <c r="BH15" s="16" t="e">
        <f>VLOOKUP($BF15,$AS15:$BA18,8,FALSE)</f>
        <v>#REF!</v>
      </c>
      <c r="BI15" s="16" t="e">
        <f>IF(AND($BG15=$BG16,$BH16&gt;$BH15),$BF16,$BF15)</f>
        <v>#REF!</v>
      </c>
      <c r="BJ15" s="16" t="e">
        <f>VLOOKUP($BI15,$AS15:$BA18,9,FALSE)</f>
        <v>#REF!</v>
      </c>
      <c r="BK15" s="16" t="e">
        <f>VLOOKUP($BI15,$AS15:$BA18,8,FALSE)</f>
        <v>#REF!</v>
      </c>
      <c r="BL15" s="16" t="e">
        <f>IF(AND($BJ15=$BJ17,$BK17&gt;$BK15),$BI17,$BI15)</f>
        <v>#REF!</v>
      </c>
      <c r="BM15" s="16" t="e">
        <f>VLOOKUP($BL15,$AS15:$BA18,9,FALSE)</f>
        <v>#REF!</v>
      </c>
      <c r="BN15" s="16" t="e">
        <f>VLOOKUP($BL15,$AS15:$BA18,8,FALSE)</f>
        <v>#REF!</v>
      </c>
      <c r="BO15" s="16" t="e">
        <f>IF(AND($BM15=$BM18,$BN18&gt;$BN15),$BL18,$BL15)</f>
        <v>#REF!</v>
      </c>
      <c r="BP15" s="16" t="e">
        <f>VLOOKUP($BO15,$AS15:$BA18,9,FALSE)</f>
        <v>#REF!</v>
      </c>
      <c r="BQ15" s="16" t="e">
        <f>VLOOKUP($BO15,$AS15:$BA18,8,FALSE)</f>
        <v>#REF!</v>
      </c>
      <c r="BR15" s="16" t="e">
        <f>VLOOKUP($BO15,$AS15:$BA18,6,FALSE)</f>
        <v>#REF!</v>
      </c>
      <c r="BS15" s="16" t="e">
        <f>IF(AND($BP15=$BP16,$BQ15=$BQ16,$BR16&gt;$BR15),$BO16,$BO15)</f>
        <v>#REF!</v>
      </c>
      <c r="BT15" s="16" t="e">
        <f>VLOOKUP($BS15,$AS15:$BA18,9,FALSE)</f>
        <v>#REF!</v>
      </c>
      <c r="BU15" s="16" t="e">
        <f>VLOOKUP($BS15,$AS15:$BA18,8,FALSE)</f>
        <v>#REF!</v>
      </c>
      <c r="BV15" s="16" t="e">
        <f>VLOOKUP($BS15,$AS15:$BA18,6,FALSE)</f>
        <v>#REF!</v>
      </c>
      <c r="BW15" s="16" t="e">
        <f>IF(AND($BT15=$BT17,$BU15=$BU17,$BV17&gt;$BV15),$BS17,$BS15)</f>
        <v>#REF!</v>
      </c>
      <c r="BX15" s="16" t="e">
        <f>VLOOKUP($BW15,$AS15:$BA18,9,FALSE)</f>
        <v>#REF!</v>
      </c>
      <c r="BY15" s="16" t="e">
        <f>VLOOKUP($BW15,$AS15:$BA18,8,FALSE)</f>
        <v>#REF!</v>
      </c>
      <c r="BZ15" s="16" t="e">
        <f>VLOOKUP($BW15,$AS15:$BA18,6,FALSE)</f>
        <v>#REF!</v>
      </c>
      <c r="CA15" s="16" t="e">
        <f>IF(AND($BX15=$BX18,$BY15=$BY18,$BZ18&gt;$BZ15),$BW18,$BW15)</f>
        <v>#REF!</v>
      </c>
      <c r="CB15" s="16" t="e">
        <f>VLOOKUP($CA15,$AS15:$BA18,9,FALSE)</f>
        <v>#REF!</v>
      </c>
      <c r="CC15" s="16" t="e">
        <f>VLOOKUP($CA15,$AS15:$BA18,8,FALSE)</f>
        <v>#REF!</v>
      </c>
      <c r="CD15" s="16" t="e">
        <f>VLOOKUP($CA15,$AS15:$BA18,6,FALSE)</f>
        <v>#REF!</v>
      </c>
      <c r="CH15" s="16" t="e">
        <f>CA15</f>
        <v>#REF!</v>
      </c>
      <c r="CI15" s="16" t="e">
        <f>VLOOKUP($CH15,$AS15:$BA18,2,FALSE)</f>
        <v>#REF!</v>
      </c>
      <c r="CJ15" s="16" t="e">
        <f>VLOOKUP($CH15,$AS15:$BA18,3,FALSE)</f>
        <v>#REF!</v>
      </c>
      <c r="CK15" s="16" t="e">
        <f>VLOOKUP($CH15,$AS15:$BA18,4,FALSE)</f>
        <v>#REF!</v>
      </c>
      <c r="CL15" s="16" t="e">
        <f>VLOOKUP($CH15,$AS15:$BA18,5,FALSE)</f>
        <v>#REF!</v>
      </c>
      <c r="CM15" s="16" t="e">
        <f>VLOOKUP($CH15,$AS15:$BA18,6,FALSE)</f>
        <v>#REF!</v>
      </c>
      <c r="CN15" s="16" t="e">
        <f>VLOOKUP($CH15,$AS15:$BA18,7,FALSE)</f>
        <v>#REF!</v>
      </c>
      <c r="CO15" s="16" t="e">
        <f>VLOOKUP($CH15,$AS15:$BA18,8,FALSE)</f>
        <v>#REF!</v>
      </c>
      <c r="CP15" s="16" t="e">
        <f>VLOOKUP($CH15,$AS15:$BA18,9,FALSE)</f>
        <v>#REF!</v>
      </c>
      <c r="CR15" s="21" t="e">
        <f>#REF!</f>
        <v>#REF!</v>
      </c>
    </row>
    <row r="16" spans="1:133" ht="12.95" customHeight="1" thickBot="1" x14ac:dyDescent="0.25">
      <c r="A16" s="528">
        <f>A15</f>
        <v>0.53125</v>
      </c>
      <c r="B16" s="529"/>
      <c r="C16" s="272"/>
      <c r="D16" s="30" t="e">
        <f>AS11</f>
        <v>#REF!</v>
      </c>
      <c r="E16" s="272" t="s">
        <v>16</v>
      </c>
      <c r="F16" s="529" t="e">
        <f>AS8</f>
        <v>#REF!</v>
      </c>
      <c r="G16" s="529"/>
      <c r="H16" s="529"/>
      <c r="I16" s="248" t="str">
        <f>KWALIFICATIE!AD81</f>
        <v>…</v>
      </c>
      <c r="J16" s="247" t="s">
        <v>16</v>
      </c>
      <c r="K16" s="249">
        <f>EINDRONDE!Q34</f>
        <v>0</v>
      </c>
      <c r="L16" s="529"/>
      <c r="M16" s="529"/>
      <c r="N16" s="529"/>
      <c r="O16" s="529"/>
      <c r="P16" s="530"/>
      <c r="Q16" s="118"/>
      <c r="R16" s="528">
        <f>R15</f>
        <v>0.53125</v>
      </c>
      <c r="S16" s="529"/>
      <c r="T16" s="272"/>
      <c r="U16" s="30" t="e">
        <f>AS18</f>
        <v>#REF!</v>
      </c>
      <c r="V16" s="272" t="s">
        <v>16</v>
      </c>
      <c r="W16" s="529" t="e">
        <f>AS15</f>
        <v>#REF!</v>
      </c>
      <c r="X16" s="529"/>
      <c r="Y16" s="529"/>
      <c r="Z16" s="248">
        <f>KWALIFICATIE!AD63</f>
        <v>2</v>
      </c>
      <c r="AA16" s="247" t="s">
        <v>16</v>
      </c>
      <c r="AB16" s="249">
        <f>KWALIFICATIE!AF63</f>
        <v>1</v>
      </c>
      <c r="AC16" s="529"/>
      <c r="AD16" s="529"/>
      <c r="AE16" s="529"/>
      <c r="AF16" s="529"/>
      <c r="AG16" s="530"/>
      <c r="AH16" s="69" t="s">
        <v>168</v>
      </c>
      <c r="AI16" s="70" t="s">
        <v>169</v>
      </c>
      <c r="AJ16" s="70" t="e">
        <f>#REF!</f>
        <v>#REF!</v>
      </c>
      <c r="AK16" s="232" t="e">
        <f>#REF!</f>
        <v>#REF!</v>
      </c>
      <c r="AL16" s="73" t="s">
        <v>170</v>
      </c>
      <c r="AM16" s="50" t="s">
        <v>171</v>
      </c>
      <c r="AN16" s="44" t="s">
        <v>172</v>
      </c>
      <c r="AO16" s="45" t="e">
        <f t="shared" si="4"/>
        <v>#REF!</v>
      </c>
      <c r="AP16" s="45" t="e">
        <f t="shared" si="5"/>
        <v>#REF!</v>
      </c>
      <c r="AQ16" s="45"/>
      <c r="AS16" s="16" t="e">
        <f>KWALIFICATIE!#REF!</f>
        <v>#REF!</v>
      </c>
      <c r="AT16" s="16">
        <f>COUNT(Slovenia_Played)</f>
        <v>2</v>
      </c>
      <c r="AU16" s="16">
        <f>COUNTIF(Groupstage_Winners,"Slovenia")</f>
        <v>1</v>
      </c>
      <c r="AV16" s="16">
        <f>COUNTIF(Groupstage_Losers,"Slovenia")</f>
        <v>1</v>
      </c>
      <c r="AW16" s="16">
        <f>AT16-(AU16+AV16)</f>
        <v>0</v>
      </c>
      <c r="AX16" s="16">
        <f>SUM(Slovenia_Played)</f>
        <v>2</v>
      </c>
      <c r="AY16" s="16">
        <f>SUM(Slovenia_Against)</f>
        <v>2</v>
      </c>
      <c r="AZ16" s="16">
        <f>AX16-AY16</f>
        <v>0</v>
      </c>
      <c r="BA16" s="16">
        <f t="shared" ref="BA16:BA18" si="7">SUM((AU16*3)+(AW16*1))</f>
        <v>3</v>
      </c>
      <c r="BB16" s="16" t="e">
        <f>IF($BA16&lt;=$BA15,$AS16,$AS15)</f>
        <v>#REF!</v>
      </c>
      <c r="BC16" s="16" t="e">
        <f>VLOOKUP($BB16,$AS15:$BA18,9,FALSE)</f>
        <v>#REF!</v>
      </c>
      <c r="BD16" s="16" t="e">
        <f>IF(BC16&gt;=BC18,BB16,BB18)</f>
        <v>#REF!</v>
      </c>
      <c r="BE16" s="16" t="e">
        <f>VLOOKUP($BD16,$AS15:$BA18,9,FALSE)</f>
        <v>#REF!</v>
      </c>
      <c r="BF16" s="16" t="e">
        <f>IF($BE16&gt;=$BE17,$BD16,$BD17)</f>
        <v>#REF!</v>
      </c>
      <c r="BG16" s="16" t="e">
        <f>VLOOKUP($BF16,$AS15:$BA18,9,FALSE)</f>
        <v>#REF!</v>
      </c>
      <c r="BH16" s="16" t="e">
        <f>VLOOKUP($BF16,$AS15:$BA18,8,FALSE)</f>
        <v>#REF!</v>
      </c>
      <c r="BI16" s="16" t="e">
        <f>IF(AND($BG15=$BG16,$BH16&gt;$BH15),$BF15,$BF16)</f>
        <v>#REF!</v>
      </c>
      <c r="BJ16" s="16" t="e">
        <f>VLOOKUP($BI16,$AS15:$BA18,9,FALSE)</f>
        <v>#REF!</v>
      </c>
      <c r="BK16" s="16" t="e">
        <f>VLOOKUP($BI16,$AS15:$BA18,8,FALSE)</f>
        <v>#REF!</v>
      </c>
      <c r="BL16" s="16" t="e">
        <f>IF(AND($BJ16=$BJ18,$BK18&gt;$BK16),$BI18,$BI16)</f>
        <v>#REF!</v>
      </c>
      <c r="BM16" s="16" t="e">
        <f>VLOOKUP($BL16,$AS15:$BA18,9,FALSE)</f>
        <v>#REF!</v>
      </c>
      <c r="BN16" s="16" t="e">
        <f>VLOOKUP($BL16,$AS15:$BA18,8,FALSE)</f>
        <v>#REF!</v>
      </c>
      <c r="BO16" s="16" t="e">
        <f>IF(AND($BM16=$BM17,$BN17&gt;$BN16),$BL17,$BL16)</f>
        <v>#REF!</v>
      </c>
      <c r="BP16" s="16" t="e">
        <f>VLOOKUP($BO16,$AS15:$BA18,9,FALSE)</f>
        <v>#REF!</v>
      </c>
      <c r="BQ16" s="16" t="e">
        <f>VLOOKUP($BO16,$AS15:$BA18,8,FALSE)</f>
        <v>#REF!</v>
      </c>
      <c r="BR16" s="16" t="e">
        <f>VLOOKUP($BO16,$AS15:$BA18,6,FALSE)</f>
        <v>#REF!</v>
      </c>
      <c r="BS16" s="16" t="e">
        <f>IF(AND($BP15=$BP16,$BQ15=$BQ16,$BR16&gt;$BR15),$BO15,$BO16)</f>
        <v>#REF!</v>
      </c>
      <c r="BT16" s="16" t="e">
        <f>VLOOKUP($BS16,$AS15:$BA18,9,FALSE)</f>
        <v>#REF!</v>
      </c>
      <c r="BU16" s="16" t="e">
        <f>VLOOKUP($BS16,$AS15:$BA18,8,FALSE)</f>
        <v>#REF!</v>
      </c>
      <c r="BV16" s="16" t="e">
        <f>VLOOKUP($BS16,$AS15:$BA18,6,FALSE)</f>
        <v>#REF!</v>
      </c>
      <c r="BW16" s="16" t="e">
        <f>IF(AND($BT16=$BT18,$BU16=$BU18,$BV18&gt;$BV16),$BS18,$BS16)</f>
        <v>#REF!</v>
      </c>
      <c r="BX16" s="16" t="e">
        <f>VLOOKUP($BW16,$AS15:$BA18,9,FALSE)</f>
        <v>#REF!</v>
      </c>
      <c r="BY16" s="16" t="e">
        <f>VLOOKUP($BW16,$AS15:$BA18,8,FALSE)</f>
        <v>#REF!</v>
      </c>
      <c r="BZ16" s="16" t="e">
        <f>VLOOKUP($BW16,$AS15:$BA18,6,FALSE)</f>
        <v>#REF!</v>
      </c>
      <c r="CA16" s="16" t="e">
        <f>IF(AND($BX16=$BX17,$BY16=$BY17,$BZ17&gt;$BZ16),$BW17,$BW16)</f>
        <v>#REF!</v>
      </c>
      <c r="CB16" s="16" t="e">
        <f>VLOOKUP($CA16,$AS15:$BA18,9,FALSE)</f>
        <v>#REF!</v>
      </c>
      <c r="CC16" s="16" t="e">
        <f>VLOOKUP($CA16,$AS15:$BA18,8,FALSE)</f>
        <v>#REF!</v>
      </c>
      <c r="CD16" s="16" t="e">
        <f>VLOOKUP($CA16,$AS15:$BA18,6,FALSE)</f>
        <v>#REF!</v>
      </c>
      <c r="CH16" s="16" t="e">
        <f>CA16</f>
        <v>#REF!</v>
      </c>
      <c r="CI16" s="16" t="e">
        <f>VLOOKUP($CH16,$AS15:$BA18,2,FALSE)</f>
        <v>#REF!</v>
      </c>
      <c r="CJ16" s="16" t="e">
        <f>VLOOKUP($CH16,$AS15:$BA18,3,FALSE)</f>
        <v>#REF!</v>
      </c>
      <c r="CK16" s="16" t="e">
        <f>VLOOKUP($CH16,$AS15:$BA18,4,FALSE)</f>
        <v>#REF!</v>
      </c>
      <c r="CL16" s="16" t="e">
        <f>VLOOKUP($CH16,$AS15:$BA18,5,FALSE)</f>
        <v>#REF!</v>
      </c>
      <c r="CM16" s="16" t="e">
        <f>VLOOKUP($CH16,$AS15:$BA18,6,FALSE)</f>
        <v>#REF!</v>
      </c>
      <c r="CN16" s="16" t="e">
        <f>VLOOKUP($CH16,$AS15:$BA18,7,FALSE)</f>
        <v>#REF!</v>
      </c>
      <c r="CO16" s="16" t="e">
        <f>VLOOKUP($CH16,$AS15:$BA18,8,FALSE)</f>
        <v>#REF!</v>
      </c>
      <c r="CP16" s="16" t="e">
        <f>VLOOKUP($CH16,$AS15:$BA18,9,FALSE)</f>
        <v>#REF!</v>
      </c>
      <c r="CR16" s="21" t="e">
        <f>#REF!</f>
        <v>#REF!</v>
      </c>
    </row>
    <row r="17" spans="2:96" ht="13.5" thickBot="1" x14ac:dyDescent="0.25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334"/>
      <c r="AH17" s="69" t="s">
        <v>173</v>
      </c>
      <c r="AI17" s="70" t="s">
        <v>174</v>
      </c>
      <c r="AJ17" s="70" t="e">
        <f>#REF!</f>
        <v>#REF!</v>
      </c>
      <c r="AK17" s="232" t="e">
        <f>#REF!</f>
        <v>#REF!</v>
      </c>
      <c r="AL17" s="73" t="s">
        <v>175</v>
      </c>
      <c r="AM17" s="52" t="s">
        <v>176</v>
      </c>
      <c r="AN17" s="44" t="s">
        <v>111</v>
      </c>
      <c r="AO17" s="45" t="e">
        <f t="shared" si="4"/>
        <v>#REF!</v>
      </c>
      <c r="AP17" s="45" t="e">
        <f t="shared" si="5"/>
        <v>#REF!</v>
      </c>
      <c r="AQ17" s="45"/>
      <c r="AS17" s="16" t="e">
        <f>KWALIFICATIE!#REF!</f>
        <v>#REF!</v>
      </c>
      <c r="AT17" s="16">
        <f>COUNT(Paraguay_Played)</f>
        <v>3</v>
      </c>
      <c r="AU17" s="16">
        <f>COUNTIF(Groupstage_Winners,"Paraguay")</f>
        <v>1</v>
      </c>
      <c r="AV17" s="16">
        <f>COUNTIF(Groupstage_Losers,"Paraguay")</f>
        <v>2</v>
      </c>
      <c r="AW17" s="16">
        <f>AT17-(AU17+AV17)</f>
        <v>0</v>
      </c>
      <c r="AX17" s="16">
        <f>SUM(Paraguay_Played)</f>
        <v>2</v>
      </c>
      <c r="AY17" s="16">
        <f>SUM(Paraguay_Against)</f>
        <v>3</v>
      </c>
      <c r="AZ17" s="16">
        <f>AX17-AY17</f>
        <v>-1</v>
      </c>
      <c r="BA17" s="16">
        <f t="shared" si="7"/>
        <v>3</v>
      </c>
      <c r="BB17" s="16" t="e">
        <f>IF($BA17&gt;=$BA18,$AS17,$AS18)</f>
        <v>#REF!</v>
      </c>
      <c r="BC17" s="16" t="e">
        <f>VLOOKUP($BB17,$AS15:$BA18,9,FALSE)</f>
        <v>#REF!</v>
      </c>
      <c r="BD17" s="16" t="e">
        <f>IF($BC17&lt;=$BC15,$BB17,$BB15)</f>
        <v>#REF!</v>
      </c>
      <c r="BE17" s="16" t="e">
        <f>VLOOKUP($BD17,$AS15:$BA18,9,FALSE)</f>
        <v>#REF!</v>
      </c>
      <c r="BF17" s="16" t="e">
        <f>IF($BE17&lt;=$BE16,$BD17,$BD16)</f>
        <v>#REF!</v>
      </c>
      <c r="BG17" s="16" t="e">
        <f>VLOOKUP($BF17,$AS15:$BA18,9,FALSE)</f>
        <v>#REF!</v>
      </c>
      <c r="BH17" s="16" t="e">
        <f>VLOOKUP($BF17,$AS15:$BA18,8,FALSE)</f>
        <v>#REF!</v>
      </c>
      <c r="BI17" s="16" t="e">
        <f>IF(AND($BG17=$BG18,$BH18&gt;$BH17),$BF18,$BF17)</f>
        <v>#REF!</v>
      </c>
      <c r="BJ17" s="16" t="e">
        <f>VLOOKUP($BI17,$AS15:$BA18,9,FALSE)</f>
        <v>#REF!</v>
      </c>
      <c r="BK17" s="16" t="e">
        <f>VLOOKUP($BI17,$AS15:$BA18,8,FALSE)</f>
        <v>#REF!</v>
      </c>
      <c r="BL17" s="16" t="e">
        <f>IF(AND($BJ15=$BJ17,$BK17&gt;$BK15),$BI15,$BI17)</f>
        <v>#REF!</v>
      </c>
      <c r="BM17" s="16" t="e">
        <f>VLOOKUP($BL17,$AS15:$BA18,9,FALSE)</f>
        <v>#REF!</v>
      </c>
      <c r="BN17" s="16" t="e">
        <f>VLOOKUP($BL17,$AS15:$BA18,8,FALSE)</f>
        <v>#REF!</v>
      </c>
      <c r="BO17" s="16" t="e">
        <f>IF(AND($BM16=$BM17,$BN17&gt;$BN16),$BL16,$BL17)</f>
        <v>#REF!</v>
      </c>
      <c r="BP17" s="16" t="e">
        <f>VLOOKUP($BO17,$AS15:$BA18,9,FALSE)</f>
        <v>#REF!</v>
      </c>
      <c r="BQ17" s="16" t="e">
        <f>VLOOKUP($BO17,$AS15:$BA18,8,FALSE)</f>
        <v>#REF!</v>
      </c>
      <c r="BR17" s="16" t="e">
        <f>VLOOKUP($BO17,$AS15:$BA18,6,FALSE)</f>
        <v>#REF!</v>
      </c>
      <c r="BS17" s="16" t="e">
        <f>IF(AND($BP17=$BP18,$BQ17=$BQ18,$BR18&gt;$BR17),$BO18,$BO17)</f>
        <v>#REF!</v>
      </c>
      <c r="BT17" s="16" t="e">
        <f>VLOOKUP($BS17,$AS15:$BA18,9,FALSE)</f>
        <v>#REF!</v>
      </c>
      <c r="BU17" s="16" t="e">
        <f>VLOOKUP($BS17,$AS15:$BA18,8,FALSE)</f>
        <v>#REF!</v>
      </c>
      <c r="BV17" s="16" t="e">
        <f>VLOOKUP($BS17,$AS15:$BA18,6,FALSE)</f>
        <v>#REF!</v>
      </c>
      <c r="BW17" s="16" t="e">
        <f>IF(AND($BT15=$BT17,$BU15=$BU17,$BV16&gt;$BV15),$BS15,$BS17)</f>
        <v>#REF!</v>
      </c>
      <c r="BX17" s="16" t="e">
        <f>VLOOKUP($BW17,$AS15:$BA18,9,FALSE)</f>
        <v>#REF!</v>
      </c>
      <c r="BY17" s="16" t="e">
        <f>VLOOKUP($BW17,$AS15:$BA18,8,FALSE)</f>
        <v>#REF!</v>
      </c>
      <c r="BZ17" s="16" t="e">
        <f>VLOOKUP($BW17,$AS15:$BA18,6,FALSE)</f>
        <v>#REF!</v>
      </c>
      <c r="CA17" s="16" t="e">
        <f>IF(AND($BX16=$BX17,$BY16=$BY17,$BZ17&gt;$BZ16),$BW16,$BW17)</f>
        <v>#REF!</v>
      </c>
      <c r="CB17" s="16" t="e">
        <f>VLOOKUP($CA17,$AS15:$BA18,9,FALSE)</f>
        <v>#REF!</v>
      </c>
      <c r="CC17" s="16" t="e">
        <f>VLOOKUP($CA17,$AS15:$BA18,8,FALSE)</f>
        <v>#REF!</v>
      </c>
      <c r="CD17" s="16" t="e">
        <f>VLOOKUP($CA17,$AS15:$BA18,6,FALSE)</f>
        <v>#REF!</v>
      </c>
      <c r="CH17" s="16" t="e">
        <f>CA17</f>
        <v>#REF!</v>
      </c>
      <c r="CI17" s="16" t="e">
        <f>VLOOKUP($CH17,$AS15:$BA18,2,FALSE)</f>
        <v>#REF!</v>
      </c>
      <c r="CJ17" s="16" t="e">
        <f>VLOOKUP($CH17,$AS15:$BA18,3,FALSE)</f>
        <v>#REF!</v>
      </c>
      <c r="CK17" s="16" t="e">
        <f>VLOOKUP($CH17,$AS15:$BA18,4,FALSE)</f>
        <v>#REF!</v>
      </c>
      <c r="CL17" s="16" t="e">
        <f>VLOOKUP($CH17,$AS15:$BA18,5,FALSE)</f>
        <v>#REF!</v>
      </c>
      <c r="CM17" s="16" t="e">
        <f>VLOOKUP($CH17,$AS15:$BA18,6,FALSE)</f>
        <v>#REF!</v>
      </c>
      <c r="CN17" s="16" t="e">
        <f>VLOOKUP($CH17,$AS15:$BA18,7,FALSE)</f>
        <v>#REF!</v>
      </c>
      <c r="CO17" s="16" t="e">
        <f>VLOOKUP($CH17,$AS15:$BA18,8,FALSE)</f>
        <v>#REF!</v>
      </c>
      <c r="CP17" s="16" t="e">
        <f>VLOOKUP($CH17,$AS15:$BA18,9,FALSE)</f>
        <v>#REF!</v>
      </c>
      <c r="CR17" s="21" t="e">
        <f>#REF!</f>
        <v>#REF!</v>
      </c>
    </row>
    <row r="18" spans="2:96" ht="13.5" thickBot="1" x14ac:dyDescent="0.25">
      <c r="AH18" s="70" t="s">
        <v>177</v>
      </c>
      <c r="AI18" s="70" t="s">
        <v>178</v>
      </c>
      <c r="AJ18" s="70" t="e">
        <f>#REF!</f>
        <v>#REF!</v>
      </c>
      <c r="AK18" s="232" t="e">
        <f>#REF!</f>
        <v>#REF!</v>
      </c>
      <c r="AL18" s="73" t="s">
        <v>179</v>
      </c>
      <c r="AM18" s="51" t="s">
        <v>180</v>
      </c>
      <c r="AN18" s="44" t="s">
        <v>172</v>
      </c>
      <c r="AO18" s="45" t="e">
        <f t="shared" si="4"/>
        <v>#REF!</v>
      </c>
      <c r="AP18" s="45" t="e">
        <f t="shared" si="5"/>
        <v>#REF!</v>
      </c>
      <c r="AQ18" s="45"/>
      <c r="AS18" s="16" t="e">
        <f>KWALIFICATIE!#REF!</f>
        <v>#REF!</v>
      </c>
      <c r="AT18" s="16">
        <f>COUNT(South_Africa_Played)</f>
        <v>2</v>
      </c>
      <c r="AU18" s="16">
        <f>COUNTIF(Groupstage_Winners,"South Africa")</f>
        <v>1</v>
      </c>
      <c r="AV18" s="16">
        <f>COUNTIF(Groupstage_Losers,"South Africa")</f>
        <v>1</v>
      </c>
      <c r="AW18" s="16">
        <f>AT18-(AU18+AV18)</f>
        <v>0</v>
      </c>
      <c r="AX18" s="16">
        <f>SUM(South_Africa_Played)</f>
        <v>2</v>
      </c>
      <c r="AY18" s="16">
        <f>SUM(South_Africa_Against)</f>
        <v>3</v>
      </c>
      <c r="AZ18" s="16">
        <f>AX18-AY18</f>
        <v>-1</v>
      </c>
      <c r="BA18" s="16">
        <f t="shared" si="7"/>
        <v>3</v>
      </c>
      <c r="BB18" s="16" t="e">
        <f>IF($BA18&lt;=$BA17,$AS18,$AS17)</f>
        <v>#REF!</v>
      </c>
      <c r="BC18" s="16" t="e">
        <f>VLOOKUP($BB18,$AS15:$BA18,9,FALSE)</f>
        <v>#REF!</v>
      </c>
      <c r="BD18" s="16" t="e">
        <f>IF(BC18&lt;=BC16,BB18,BB16)</f>
        <v>#REF!</v>
      </c>
      <c r="BE18" s="16" t="e">
        <f>VLOOKUP($BD18,$AS15:$BA18,9,FALSE)</f>
        <v>#REF!</v>
      </c>
      <c r="BF18" s="16" t="e">
        <f>IF($BE18&lt;=$BE15,$BD18,$BD15)</f>
        <v>#REF!</v>
      </c>
      <c r="BG18" s="16" t="e">
        <f>VLOOKUP($BF18,$AS15:$BA18,9,FALSE)</f>
        <v>#REF!</v>
      </c>
      <c r="BH18" s="16" t="e">
        <f>VLOOKUP($BF18,$AS15:$BA18,8,FALSE)</f>
        <v>#REF!</v>
      </c>
      <c r="BI18" s="16" t="e">
        <f>IF(AND($BG17=$BG18,$BH18&gt;$BH17),$BF17,$BF18)</f>
        <v>#REF!</v>
      </c>
      <c r="BJ18" s="16" t="e">
        <f>VLOOKUP($BI18,$AS15:$BA18,9,FALSE)</f>
        <v>#REF!</v>
      </c>
      <c r="BK18" s="16" t="e">
        <f>VLOOKUP($BI18,$AS15:$BA18,8,FALSE)</f>
        <v>#REF!</v>
      </c>
      <c r="BL18" s="16" t="e">
        <f>IF(AND($BJ16=$BJ18,$BK18&gt;$BK16),$BI16,$BI18)</f>
        <v>#REF!</v>
      </c>
      <c r="BM18" s="16" t="e">
        <f>VLOOKUP($BL18,$AS15:$BA18,9,FALSE)</f>
        <v>#REF!</v>
      </c>
      <c r="BN18" s="16" t="e">
        <f>VLOOKUP($BL18,$AS15:$BA18,8,FALSE)</f>
        <v>#REF!</v>
      </c>
      <c r="BO18" s="16" t="e">
        <f>IF(AND($BM15=$BM18,$BN18&gt;$BN15),$BL15,$BL18)</f>
        <v>#REF!</v>
      </c>
      <c r="BP18" s="16" t="e">
        <f>VLOOKUP($BO18,$AS15:$BA18,9,FALSE)</f>
        <v>#REF!</v>
      </c>
      <c r="BQ18" s="16" t="e">
        <f>VLOOKUP($BO18,$AS15:$BA18,8,FALSE)</f>
        <v>#REF!</v>
      </c>
      <c r="BR18" s="16" t="e">
        <f>VLOOKUP($BO18,$AS15:$BA18,6,FALSE)</f>
        <v>#REF!</v>
      </c>
      <c r="BS18" s="16" t="e">
        <f>IF(AND($BP17=$BP18,$BQ17=$BQ18,$BR18&gt;$BR17),$BO17,$BO18)</f>
        <v>#REF!</v>
      </c>
      <c r="BT18" s="16" t="e">
        <f>VLOOKUP($BS18,$AS15:$BA18,9,FALSE)</f>
        <v>#REF!</v>
      </c>
      <c r="BU18" s="16" t="e">
        <f>VLOOKUP($BS18,$AS15:$BA18,8,FALSE)</f>
        <v>#REF!</v>
      </c>
      <c r="BV18" s="16" t="e">
        <f>VLOOKUP($BS18,$AS15:$BA18,6,FALSE)</f>
        <v>#REF!</v>
      </c>
      <c r="BW18" s="16" t="e">
        <f>IF(AND($BT16=$BT18,$BU16=$BU18,$BV18&gt;$BV16),$BS16,$BS18)</f>
        <v>#REF!</v>
      </c>
      <c r="BX18" s="16" t="e">
        <f>VLOOKUP($BW18,$AS15:$BA18,9,FALSE)</f>
        <v>#REF!</v>
      </c>
      <c r="BY18" s="16" t="e">
        <f>VLOOKUP($BW18,$AS15:$BA18,8,FALSE)</f>
        <v>#REF!</v>
      </c>
      <c r="BZ18" s="16" t="e">
        <f>VLOOKUP($BW18,$AS15:$BA18,6,FALSE)</f>
        <v>#REF!</v>
      </c>
      <c r="CA18" s="16" t="e">
        <f>IF(AND($BX15=$BX18,$BY15=$BY18,$BZ18&gt;$BZ15),$BW15,$BW18)</f>
        <v>#REF!</v>
      </c>
      <c r="CB18" s="16" t="e">
        <f>VLOOKUP($CA18,$AS15:$BA18,9,FALSE)</f>
        <v>#REF!</v>
      </c>
      <c r="CC18" s="16" t="e">
        <f>VLOOKUP($CA18,$AS15:$BA18,8,FALSE)</f>
        <v>#REF!</v>
      </c>
      <c r="CD18" s="16" t="e">
        <f>VLOOKUP($CA18,$AS15:$BA18,6,FALSE)</f>
        <v>#REF!</v>
      </c>
      <c r="CH18" s="16" t="e">
        <f>CA18</f>
        <v>#REF!</v>
      </c>
      <c r="CI18" s="16" t="e">
        <f>VLOOKUP($CH18,$AS15:$BA18,2,FALSE)</f>
        <v>#REF!</v>
      </c>
      <c r="CJ18" s="16" t="e">
        <f>VLOOKUP($CH18,$AS15:$BA18,3,FALSE)</f>
        <v>#REF!</v>
      </c>
      <c r="CK18" s="16" t="e">
        <f>VLOOKUP($CH18,$AS15:$BA18,4,FALSE)</f>
        <v>#REF!</v>
      </c>
      <c r="CL18" s="16" t="e">
        <f>VLOOKUP($CH18,$AS15:$BA18,5,FALSE)</f>
        <v>#REF!</v>
      </c>
      <c r="CM18" s="16" t="e">
        <f>VLOOKUP($CH18,$AS15:$BA18,6,FALSE)</f>
        <v>#REF!</v>
      </c>
      <c r="CN18" s="16" t="e">
        <f>VLOOKUP($CH18,$AS15:$BA18,7,FALSE)</f>
        <v>#REF!</v>
      </c>
      <c r="CO18" s="16" t="e">
        <f>VLOOKUP($CH18,$AS15:$BA18,8,FALSE)</f>
        <v>#REF!</v>
      </c>
      <c r="CP18" s="16" t="e">
        <f>VLOOKUP($CH18,$AS15:$BA18,9,FALSE)</f>
        <v>#REF!</v>
      </c>
      <c r="CR18" s="21" t="e">
        <f>#REF!</f>
        <v>#REF!</v>
      </c>
    </row>
    <row r="19" spans="2:96" ht="12.95" customHeight="1" thickBot="1" x14ac:dyDescent="0.25">
      <c r="AH19" s="69" t="s">
        <v>181</v>
      </c>
      <c r="AI19" s="70" t="s">
        <v>182</v>
      </c>
      <c r="AJ19" s="70" t="e">
        <f>#REF!</f>
        <v>#REF!</v>
      </c>
      <c r="AK19" s="232" t="e">
        <f>#REF!</f>
        <v>#REF!</v>
      </c>
      <c r="AL19" s="73" t="s">
        <v>183</v>
      </c>
      <c r="AM19" s="50" t="s">
        <v>184</v>
      </c>
      <c r="AN19" s="44" t="s">
        <v>185</v>
      </c>
      <c r="AO19" s="45" t="e">
        <f t="shared" si="4"/>
        <v>#REF!</v>
      </c>
      <c r="AP19" s="45" t="e">
        <f t="shared" si="5"/>
        <v>#REF!</v>
      </c>
      <c r="AQ19" s="45"/>
      <c r="CR19" s="21" t="e">
        <f>#REF!</f>
        <v>#REF!</v>
      </c>
    </row>
    <row r="20" spans="2:96" ht="12.95" customHeight="1" thickBot="1" x14ac:dyDescent="0.25">
      <c r="AH20" s="70" t="s">
        <v>187</v>
      </c>
      <c r="AI20" s="70" t="s">
        <v>188</v>
      </c>
      <c r="AJ20" s="70" t="e">
        <f>#REF!</f>
        <v>#REF!</v>
      </c>
      <c r="AK20" s="232" t="e">
        <f>#REF!</f>
        <v>#REF!</v>
      </c>
      <c r="AL20" s="73" t="s">
        <v>189</v>
      </c>
      <c r="AM20" s="51" t="s">
        <v>190</v>
      </c>
      <c r="AN20" s="44" t="s">
        <v>126</v>
      </c>
      <c r="AO20" s="45" t="e">
        <f t="shared" si="4"/>
        <v>#REF!</v>
      </c>
      <c r="AP20" s="45" t="e">
        <f t="shared" si="5"/>
        <v>#REF!</v>
      </c>
      <c r="AQ20" s="45"/>
      <c r="CR20" s="21" t="e">
        <f>#REF!</f>
        <v>#REF!</v>
      </c>
    </row>
    <row r="21" spans="2:96" ht="12.95" customHeight="1" thickBot="1" x14ac:dyDescent="0.25">
      <c r="AH21" s="70" t="s">
        <v>193</v>
      </c>
      <c r="AI21" s="70" t="s">
        <v>194</v>
      </c>
      <c r="AJ21" s="70" t="e">
        <f>#REF!</f>
        <v>#REF!</v>
      </c>
      <c r="AK21" s="232" t="e">
        <f>#REF!</f>
        <v>#REF!</v>
      </c>
      <c r="AL21" s="73" t="s">
        <v>195</v>
      </c>
      <c r="AM21" s="51" t="s">
        <v>196</v>
      </c>
      <c r="AN21" s="44" t="s">
        <v>185</v>
      </c>
      <c r="AO21" s="45" t="e">
        <f t="shared" si="4"/>
        <v>#REF!</v>
      </c>
      <c r="AP21" s="45" t="e">
        <f t="shared" si="5"/>
        <v>#REF!</v>
      </c>
      <c r="AQ21" s="45"/>
      <c r="CR21" s="21" t="e">
        <f>#REF!</f>
        <v>#REF!</v>
      </c>
    </row>
    <row r="22" spans="2:96" ht="12.95" customHeight="1" thickBot="1" x14ac:dyDescent="0.25">
      <c r="AH22" s="70" t="s">
        <v>198</v>
      </c>
      <c r="AI22" s="70" t="s">
        <v>199</v>
      </c>
      <c r="AJ22" s="70" t="e">
        <f>#REF!</f>
        <v>#REF!</v>
      </c>
      <c r="AK22" s="232" t="e">
        <f>#REF!</f>
        <v>#REF!</v>
      </c>
      <c r="AL22" s="73" t="s">
        <v>200</v>
      </c>
      <c r="AM22" s="51" t="s">
        <v>201</v>
      </c>
      <c r="AN22" s="44" t="s">
        <v>126</v>
      </c>
      <c r="AO22" s="45" t="e">
        <f t="shared" si="4"/>
        <v>#REF!</v>
      </c>
      <c r="AP22" s="45" t="e">
        <f t="shared" si="5"/>
        <v>#REF!</v>
      </c>
      <c r="AQ22" s="45"/>
      <c r="CH22" s="16">
        <f>CA22</f>
        <v>0</v>
      </c>
      <c r="CI22" s="16" t="e">
        <f>VLOOKUP($CH22,$AS22:$BA25,2,FALSE)</f>
        <v>#N/A</v>
      </c>
      <c r="CJ22" s="16" t="e">
        <f>VLOOKUP($CH22,$AS22:$BA25,3,FALSE)</f>
        <v>#N/A</v>
      </c>
      <c r="CK22" s="16" t="e">
        <f>VLOOKUP($CH22,$AS22:$BA25,4,FALSE)</f>
        <v>#N/A</v>
      </c>
      <c r="CL22" s="16" t="e">
        <f>VLOOKUP($CH22,$AS22:$BA25,5,FALSE)</f>
        <v>#N/A</v>
      </c>
      <c r="CM22" s="16" t="e">
        <f>VLOOKUP($CH22,$AS22:$BA25,6,FALSE)</f>
        <v>#N/A</v>
      </c>
      <c r="CN22" s="16" t="e">
        <f>VLOOKUP($CH22,$AS22:$BA25,7,FALSE)</f>
        <v>#N/A</v>
      </c>
      <c r="CO22" s="16" t="e">
        <f>VLOOKUP($CH22,$AS22:$BA25,8,FALSE)</f>
        <v>#N/A</v>
      </c>
      <c r="CP22" s="16" t="e">
        <f>VLOOKUP($CH22,$AS22:$BA25,9,FALSE)</f>
        <v>#N/A</v>
      </c>
      <c r="CR22" s="21" t="e">
        <f>#REF!</f>
        <v>#REF!</v>
      </c>
    </row>
    <row r="23" spans="2:96" ht="13.5" thickBot="1" x14ac:dyDescent="0.25">
      <c r="AH23" s="63" t="s">
        <v>142</v>
      </c>
      <c r="AI23" s="63" t="s">
        <v>143</v>
      </c>
      <c r="AJ23" s="63" t="e">
        <f>#REF!</f>
        <v>#REF!</v>
      </c>
      <c r="AK23" s="234" t="e">
        <f>#REF!</f>
        <v>#REF!</v>
      </c>
      <c r="AL23" s="77" t="s">
        <v>134</v>
      </c>
      <c r="AM23" s="48" t="s">
        <v>133</v>
      </c>
      <c r="AN23" s="44" t="s">
        <v>137</v>
      </c>
      <c r="AO23" s="45" t="e">
        <f t="shared" si="4"/>
        <v>#REF!</v>
      </c>
      <c r="AP23" s="45" t="e">
        <f t="shared" si="5"/>
        <v>#REF!</v>
      </c>
      <c r="AQ23" s="45"/>
      <c r="CH23" s="16">
        <f>CA23</f>
        <v>0</v>
      </c>
      <c r="CI23" s="16" t="e">
        <f>VLOOKUP($CH23,$AS22:$BA25,2,FALSE)</f>
        <v>#N/A</v>
      </c>
      <c r="CJ23" s="16" t="e">
        <f>VLOOKUP($CH23,$AS22:$BA25,3,FALSE)</f>
        <v>#N/A</v>
      </c>
      <c r="CK23" s="16" t="e">
        <f>VLOOKUP($CH23,$AS22:$BA25,4,FALSE)</f>
        <v>#N/A</v>
      </c>
      <c r="CL23" s="16" t="e">
        <f>VLOOKUP($CH23,$AS22:$BA25,5,FALSE)</f>
        <v>#N/A</v>
      </c>
      <c r="CM23" s="16" t="e">
        <f>VLOOKUP($CH23,$AS22:$BA25,6,FALSE)</f>
        <v>#N/A</v>
      </c>
      <c r="CN23" s="16" t="e">
        <f>VLOOKUP($CH23,$AS22:$BA25,7,FALSE)</f>
        <v>#N/A</v>
      </c>
      <c r="CO23" s="16" t="e">
        <f>VLOOKUP($CH23,$AS22:$BA25,8,FALSE)</f>
        <v>#N/A</v>
      </c>
      <c r="CP23" s="16" t="e">
        <f>VLOOKUP($CH23,$AS22:$BA25,9,FALSE)</f>
        <v>#N/A</v>
      </c>
      <c r="CR23" s="21" t="e">
        <f>#REF!</f>
        <v>#REF!</v>
      </c>
    </row>
    <row r="24" spans="2:96" ht="13.5" thickBot="1" x14ac:dyDescent="0.25">
      <c r="AH24" s="65" t="s">
        <v>138</v>
      </c>
      <c r="AI24" s="63" t="s">
        <v>139</v>
      </c>
      <c r="AJ24" s="63">
        <f>I13</f>
        <v>5</v>
      </c>
      <c r="AK24" s="234">
        <f>K13</f>
        <v>0</v>
      </c>
      <c r="AL24" s="77" t="s">
        <v>120</v>
      </c>
      <c r="AM24" s="56" t="s">
        <v>119</v>
      </c>
      <c r="AN24" s="44" t="s">
        <v>123</v>
      </c>
      <c r="AO24" s="45" t="str">
        <f t="shared" si="4"/>
        <v>France</v>
      </c>
      <c r="AP24" s="45" t="str">
        <f t="shared" si="5"/>
        <v>Uruguay</v>
      </c>
      <c r="AQ24" s="45"/>
      <c r="CH24" s="16">
        <f>CA24</f>
        <v>0</v>
      </c>
      <c r="CI24" s="16" t="e">
        <f>VLOOKUP($CH24,$AS22:$BA25,2,FALSE)</f>
        <v>#N/A</v>
      </c>
      <c r="CJ24" s="16" t="e">
        <f>VLOOKUP($CH24,$AS22:$BA25,3,FALSE)</f>
        <v>#N/A</v>
      </c>
      <c r="CK24" s="16" t="e">
        <f>VLOOKUP($CH24,$AS22:$BA25,4,FALSE)</f>
        <v>#N/A</v>
      </c>
      <c r="CL24" s="16" t="e">
        <f>VLOOKUP($CH24,$AS22:$BA25,5,FALSE)</f>
        <v>#N/A</v>
      </c>
      <c r="CM24" s="16" t="e">
        <f>VLOOKUP($CH24,$AS22:$BA25,6,FALSE)</f>
        <v>#N/A</v>
      </c>
      <c r="CN24" s="16" t="e">
        <f>VLOOKUP($CH24,$AS22:$BA25,7,FALSE)</f>
        <v>#N/A</v>
      </c>
      <c r="CO24" s="16" t="e">
        <f>VLOOKUP($CH24,$AS22:$BA25,8,FALSE)</f>
        <v>#N/A</v>
      </c>
      <c r="CP24" s="16" t="e">
        <f>VLOOKUP($CH24,$AS22:$BA25,9,FALSE)</f>
        <v>#N/A</v>
      </c>
      <c r="CR24" s="21" t="e">
        <f>#REF!</f>
        <v>#REF!</v>
      </c>
    </row>
    <row r="25" spans="2:96" ht="13.5" thickBot="1" x14ac:dyDescent="0.25">
      <c r="AH25" s="65" t="s">
        <v>136</v>
      </c>
      <c r="AI25" s="63" t="s">
        <v>135</v>
      </c>
      <c r="AJ25" s="63" t="e">
        <f>#REF!</f>
        <v>#REF!</v>
      </c>
      <c r="AK25" s="234" t="e">
        <f>#REF!</f>
        <v>#REF!</v>
      </c>
      <c r="AL25" s="77" t="s">
        <v>144</v>
      </c>
      <c r="AM25" s="47" t="s">
        <v>145</v>
      </c>
      <c r="AN25" s="44" t="s">
        <v>137</v>
      </c>
      <c r="AO25" s="45" t="e">
        <f t="shared" si="4"/>
        <v>#REF!</v>
      </c>
      <c r="AP25" s="45" t="e">
        <f t="shared" si="5"/>
        <v>#REF!</v>
      </c>
      <c r="AQ25" s="45"/>
      <c r="CH25" s="16">
        <f>CA25</f>
        <v>0</v>
      </c>
      <c r="CI25" s="16" t="e">
        <f>VLOOKUP($CH25,$AS22:$BA25,2,FALSE)</f>
        <v>#N/A</v>
      </c>
      <c r="CJ25" s="16" t="e">
        <f>VLOOKUP($CH25,$AS22:$BA25,3,FALSE)</f>
        <v>#N/A</v>
      </c>
      <c r="CK25" s="16" t="e">
        <f>VLOOKUP($CH25,$AS22:$BA25,4,FALSE)</f>
        <v>#N/A</v>
      </c>
      <c r="CL25" s="16" t="e">
        <f>VLOOKUP($CH25,$AS22:$BA25,5,FALSE)</f>
        <v>#N/A</v>
      </c>
      <c r="CM25" s="16" t="e">
        <f>VLOOKUP($CH25,$AS22:$BA25,6,FALSE)</f>
        <v>#N/A</v>
      </c>
      <c r="CN25" s="16" t="e">
        <f>VLOOKUP($CH25,$AS22:$BA25,7,FALSE)</f>
        <v>#N/A</v>
      </c>
      <c r="CO25" s="16" t="e">
        <f>VLOOKUP($CH25,$AS22:$BA25,8,FALSE)</f>
        <v>#N/A</v>
      </c>
      <c r="CP25" s="16" t="e">
        <f>VLOOKUP($CH25,$AS22:$BA25,9,FALSE)</f>
        <v>#N/A</v>
      </c>
      <c r="CR25" s="21" t="e">
        <f>#REF!</f>
        <v>#REF!</v>
      </c>
    </row>
    <row r="26" spans="2:96" ht="12.95" customHeight="1" thickBot="1" x14ac:dyDescent="0.25">
      <c r="AH26" s="65" t="s">
        <v>122</v>
      </c>
      <c r="AI26" s="63" t="s">
        <v>121</v>
      </c>
      <c r="AJ26" s="63">
        <f>I14</f>
        <v>1</v>
      </c>
      <c r="AK26" s="234">
        <f>K14</f>
        <v>2</v>
      </c>
      <c r="AL26" s="77" t="s">
        <v>140</v>
      </c>
      <c r="AM26" s="56" t="s">
        <v>141</v>
      </c>
      <c r="AN26" s="44" t="s">
        <v>123</v>
      </c>
      <c r="AO26" s="45" t="str">
        <f t="shared" si="4"/>
        <v>Senegal</v>
      </c>
      <c r="AP26" s="45" t="str">
        <f t="shared" si="5"/>
        <v>Denmark</v>
      </c>
      <c r="AQ26" s="45"/>
      <c r="CR26" s="21" t="e">
        <f>#REF!</f>
        <v>#REF!</v>
      </c>
    </row>
    <row r="27" spans="2:96" ht="12.95" customHeight="1" thickBot="1" x14ac:dyDescent="0.25">
      <c r="AH27" s="65" t="s">
        <v>149</v>
      </c>
      <c r="AI27" s="63" t="s">
        <v>148</v>
      </c>
      <c r="AJ27" s="63" t="e">
        <f>#REF!</f>
        <v>#REF!</v>
      </c>
      <c r="AK27" s="234" t="e">
        <f>#REF!</f>
        <v>#REF!</v>
      </c>
      <c r="AL27" s="77" t="s">
        <v>157</v>
      </c>
      <c r="AM27" s="47" t="s">
        <v>158</v>
      </c>
      <c r="AN27" s="44" t="s">
        <v>127</v>
      </c>
      <c r="AO27" s="45" t="e">
        <f t="shared" si="4"/>
        <v>#REF!</v>
      </c>
      <c r="AP27" s="45" t="e">
        <f t="shared" si="5"/>
        <v>#REF!</v>
      </c>
      <c r="AQ27" s="45"/>
      <c r="CR27" s="21" t="e">
        <f>#REF!</f>
        <v>#REF!</v>
      </c>
    </row>
    <row r="28" spans="2:96" ht="12.95" customHeight="1" thickBot="1" x14ac:dyDescent="0.25">
      <c r="AH28" s="65" t="s">
        <v>160</v>
      </c>
      <c r="AI28" s="63" t="s">
        <v>161</v>
      </c>
      <c r="AJ28" s="63">
        <f>Z13</f>
        <v>2</v>
      </c>
      <c r="AK28" s="234">
        <f>AB13</f>
        <v>0</v>
      </c>
      <c r="AL28" s="77" t="s">
        <v>151</v>
      </c>
      <c r="AM28" s="47" t="s">
        <v>150</v>
      </c>
      <c r="AN28" s="44" t="s">
        <v>154</v>
      </c>
      <c r="AO28" s="45" t="str">
        <f t="shared" si="4"/>
        <v>Spain</v>
      </c>
      <c r="AP28" s="45" t="str">
        <f t="shared" si="5"/>
        <v>Paraguay</v>
      </c>
      <c r="AQ28" s="45"/>
      <c r="CR28" s="21" t="e">
        <f>#REF!</f>
        <v>#REF!</v>
      </c>
    </row>
    <row r="29" spans="2:96" ht="12.95" customHeight="1" thickBot="1" x14ac:dyDescent="0.25">
      <c r="AH29" s="65" t="s">
        <v>155</v>
      </c>
      <c r="AI29" s="63" t="s">
        <v>156</v>
      </c>
      <c r="AJ29" s="63" t="e">
        <f>#REF!</f>
        <v>#REF!</v>
      </c>
      <c r="AK29" s="234" t="e">
        <f>#REF!</f>
        <v>#REF!</v>
      </c>
      <c r="AL29" s="77" t="s">
        <v>147</v>
      </c>
      <c r="AM29" s="47" t="s">
        <v>146</v>
      </c>
      <c r="AN29" s="44" t="s">
        <v>127</v>
      </c>
      <c r="AO29" s="45" t="e">
        <f t="shared" si="4"/>
        <v>#REF!</v>
      </c>
      <c r="AP29" s="45" t="e">
        <f t="shared" si="5"/>
        <v>#REF!</v>
      </c>
      <c r="AQ29" s="45"/>
      <c r="CH29" s="16">
        <f>CA29</f>
        <v>0</v>
      </c>
      <c r="CI29" s="16" t="e">
        <f>VLOOKUP($CH29,$AS29:$BA33,2,FALSE)</f>
        <v>#N/A</v>
      </c>
      <c r="CJ29" s="16" t="e">
        <f>VLOOKUP($CH29,$AS29:$BA33,3,FALSE)</f>
        <v>#N/A</v>
      </c>
      <c r="CK29" s="16" t="e">
        <f>VLOOKUP($CH29,$AS29:$BA33,4,FALSE)</f>
        <v>#N/A</v>
      </c>
      <c r="CL29" s="16" t="e">
        <f>VLOOKUP($CH29,$AS29:$BA33,5,FALSE)</f>
        <v>#N/A</v>
      </c>
      <c r="CM29" s="16" t="e">
        <f>VLOOKUP($CH29,$AS29:$BA33,6,FALSE)</f>
        <v>#N/A</v>
      </c>
      <c r="CN29" s="16" t="e">
        <f>VLOOKUP($CH29,$AS29:$BA33,7,FALSE)</f>
        <v>#N/A</v>
      </c>
      <c r="CO29" s="16" t="e">
        <f>VLOOKUP($CH29,$AS29:$BA33,8,FALSE)</f>
        <v>#N/A</v>
      </c>
      <c r="CP29" s="16" t="e">
        <f>VLOOKUP($CH29,$AS29:$BA33,9,FALSE)</f>
        <v>#N/A</v>
      </c>
      <c r="CR29" s="21" t="e">
        <f>#REF!</f>
        <v>#REF!</v>
      </c>
    </row>
    <row r="30" spans="2:96" ht="12.95" customHeight="1" thickBot="1" x14ac:dyDescent="0.25">
      <c r="AH30" s="65" t="s">
        <v>153</v>
      </c>
      <c r="AI30" s="63" t="s">
        <v>152</v>
      </c>
      <c r="AJ30" s="63" t="str">
        <f>Z14</f>
        <v>…</v>
      </c>
      <c r="AK30" s="234" t="str">
        <f>AB14</f>
        <v>…</v>
      </c>
      <c r="AL30" s="77" t="s">
        <v>162</v>
      </c>
      <c r="AM30" s="47" t="s">
        <v>163</v>
      </c>
      <c r="AN30" s="44" t="s">
        <v>154</v>
      </c>
      <c r="AO30" s="45" t="str">
        <f t="shared" si="4"/>
        <v>Draw</v>
      </c>
      <c r="AP30" s="45" t="str">
        <f t="shared" si="5"/>
        <v>Draw</v>
      </c>
      <c r="AQ30" s="45"/>
      <c r="CH30" s="16">
        <f>CA30</f>
        <v>0</v>
      </c>
      <c r="CI30" s="16" t="e">
        <f>VLOOKUP($CH30,$AS29:$BA33,2,FALSE)</f>
        <v>#N/A</v>
      </c>
      <c r="CJ30" s="16" t="e">
        <f>VLOOKUP($CH30,$AS29:$BA33,3,FALSE)</f>
        <v>#N/A</v>
      </c>
      <c r="CK30" s="16" t="e">
        <f>VLOOKUP($CH30,$AS29:$BA33,4,FALSE)</f>
        <v>#N/A</v>
      </c>
      <c r="CL30" s="16" t="e">
        <f>VLOOKUP($CH30,$AS29:$BA33,5,FALSE)</f>
        <v>#N/A</v>
      </c>
      <c r="CM30" s="16" t="e">
        <f>VLOOKUP($CH30,$AS29:$BA33,6,FALSE)</f>
        <v>#N/A</v>
      </c>
      <c r="CN30" s="16" t="e">
        <f>VLOOKUP($CH30,$AS29:$BA33,7,FALSE)</f>
        <v>#N/A</v>
      </c>
      <c r="CO30" s="16" t="e">
        <f>VLOOKUP($CH30,$AS29:$BA33,8,FALSE)</f>
        <v>#N/A</v>
      </c>
      <c r="CP30" s="16" t="e">
        <f>VLOOKUP($CH30,$AS29:$BA33,9,FALSE)</f>
        <v>#N/A</v>
      </c>
      <c r="CR30" s="21" t="e">
        <f>#REF!</f>
        <v>#REF!</v>
      </c>
    </row>
    <row r="31" spans="2:96" ht="12.95" customHeight="1" thickBot="1" x14ac:dyDescent="0.25">
      <c r="AH31" s="65" t="s">
        <v>173</v>
      </c>
      <c r="AI31" s="63" t="s">
        <v>174</v>
      </c>
      <c r="AJ31" s="63" t="e">
        <f>#REF!</f>
        <v>#REF!</v>
      </c>
      <c r="AK31" s="234" t="e">
        <f>#REF!</f>
        <v>#REF!</v>
      </c>
      <c r="AL31" s="77" t="s">
        <v>165</v>
      </c>
      <c r="AM31" s="47" t="s">
        <v>164</v>
      </c>
      <c r="AN31" s="44" t="s">
        <v>111</v>
      </c>
      <c r="AO31" s="45" t="e">
        <f>IF(AJ31&lt;&gt;"",IF(AJ31&gt;AK31,AI31,IF(AK31&gt;AJ31,AL31,"Draw")),"")</f>
        <v>#REF!</v>
      </c>
      <c r="AP31" s="45" t="e">
        <f>IF(AJ31&lt;&gt;"",IF(AJ31&lt;AK31,AI31,IF(AK31&lt;AJ31,AL31,"Draw")),"")</f>
        <v>#REF!</v>
      </c>
      <c r="AQ31" s="45"/>
      <c r="CH31" s="16">
        <f>CA31</f>
        <v>0</v>
      </c>
      <c r="CI31" s="16" t="e">
        <f>VLOOKUP($CH31,$AS29:$BA33,2,FALSE)</f>
        <v>#N/A</v>
      </c>
      <c r="CJ31" s="16" t="e">
        <f>VLOOKUP($CH31,$AS29:$BA33,3,FALSE)</f>
        <v>#N/A</v>
      </c>
      <c r="CK31" s="16" t="e">
        <f>VLOOKUP($CH31,$AS29:$BA33,4,FALSE)</f>
        <v>#N/A</v>
      </c>
      <c r="CL31" s="16" t="e">
        <f>VLOOKUP($CH31,$AS29:$BA33,5,FALSE)</f>
        <v>#N/A</v>
      </c>
      <c r="CM31" s="16" t="e">
        <f>VLOOKUP($CH31,$AS29:$BA33,6,FALSE)</f>
        <v>#N/A</v>
      </c>
      <c r="CN31" s="16" t="e">
        <f>VLOOKUP($CH31,$AS29:$BA33,7,FALSE)</f>
        <v>#N/A</v>
      </c>
      <c r="CO31" s="16" t="e">
        <f>VLOOKUP($CH31,$AS29:$BA33,8,FALSE)</f>
        <v>#N/A</v>
      </c>
      <c r="CP31" s="16" t="e">
        <f>VLOOKUP($CH31,$AS29:$BA33,9,FALSE)</f>
        <v>#N/A</v>
      </c>
      <c r="CR31" s="21" t="e">
        <f>#REF!</f>
        <v>#REF!</v>
      </c>
    </row>
    <row r="32" spans="2:96" ht="24.75" customHeight="1" thickBot="1" x14ac:dyDescent="0.35">
      <c r="AH32" s="63"/>
      <c r="AJ32" s="237"/>
      <c r="AK32" s="60"/>
      <c r="AL32" s="60"/>
      <c r="AM32" s="53"/>
      <c r="AN32" s="17"/>
      <c r="AO32" s="17"/>
      <c r="AP32" s="17"/>
      <c r="AQ32" s="17"/>
    </row>
    <row r="33" spans="2:96" ht="13.5" thickBot="1" x14ac:dyDescent="0.2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AH33" s="65" t="s">
        <v>168</v>
      </c>
      <c r="AI33" s="63" t="s">
        <v>169</v>
      </c>
      <c r="AJ33" s="63" t="e">
        <f>#REF!</f>
        <v>#REF!</v>
      </c>
      <c r="AK33" s="234" t="e">
        <f>#REF!</f>
        <v>#REF!</v>
      </c>
      <c r="AL33" s="77" t="s">
        <v>178</v>
      </c>
      <c r="AM33" s="47" t="s">
        <v>177</v>
      </c>
      <c r="AN33" s="44" t="s">
        <v>172</v>
      </c>
      <c r="AO33" s="45" t="e">
        <f>IF(AJ33&lt;&gt;"",IF(AJ33&gt;AK33,AI33,IF(AK33&gt;AJ33,AL33,"Draw")),"")</f>
        <v>#REF!</v>
      </c>
      <c r="AP33" s="45" t="e">
        <f>IF(AJ33&lt;&gt;"",IF(AJ33&lt;AK33,AI33,IF(AK33&lt;AJ33,AL33,"Draw")),"")</f>
        <v>#REF!</v>
      </c>
      <c r="AQ33" s="45"/>
      <c r="CH33" s="16">
        <f>CA33</f>
        <v>0</v>
      </c>
      <c r="CI33" s="16" t="e">
        <f>VLOOKUP($CH33,$AS29:$BA33,2,FALSE)</f>
        <v>#N/A</v>
      </c>
      <c r="CJ33" s="16" t="e">
        <f>VLOOKUP($CH33,$AS29:$BA33,3,FALSE)</f>
        <v>#N/A</v>
      </c>
      <c r="CK33" s="16" t="e">
        <f>VLOOKUP($CH33,$AS29:$BA33,4,FALSE)</f>
        <v>#N/A</v>
      </c>
      <c r="CL33" s="16" t="e">
        <f>VLOOKUP($CH33,$AS29:$BA33,5,FALSE)</f>
        <v>#N/A</v>
      </c>
      <c r="CM33" s="16" t="e">
        <f>VLOOKUP($CH33,$AS29:$BA33,6,FALSE)</f>
        <v>#N/A</v>
      </c>
      <c r="CN33" s="16" t="e">
        <f>VLOOKUP($CH33,$AS29:$BA33,7,FALSE)</f>
        <v>#N/A</v>
      </c>
      <c r="CO33" s="16" t="e">
        <f>VLOOKUP($CH33,$AS29:$BA33,8,FALSE)</f>
        <v>#N/A</v>
      </c>
      <c r="CP33" s="16" t="e">
        <f>VLOOKUP($CH33,$AS29:$BA33,9,FALSE)</f>
        <v>#N/A</v>
      </c>
      <c r="CR33" s="21" t="e">
        <f>#REF!</f>
        <v>#REF!</v>
      </c>
    </row>
    <row r="34" spans="2:96" ht="13.5" thickBot="1" x14ac:dyDescent="0.2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AH34" s="63" t="s">
        <v>167</v>
      </c>
      <c r="AI34" s="63" t="s">
        <v>166</v>
      </c>
      <c r="AJ34" s="63" t="e">
        <f>#REF!</f>
        <v>#REF!</v>
      </c>
      <c r="AK34" s="234" t="e">
        <f>#REF!</f>
        <v>#REF!</v>
      </c>
      <c r="AL34" s="77" t="s">
        <v>175</v>
      </c>
      <c r="AM34" s="48" t="s">
        <v>176</v>
      </c>
      <c r="AN34" s="44" t="s">
        <v>111</v>
      </c>
      <c r="AO34" s="45" t="e">
        <f>IF(AJ34&lt;&gt;"",IF(AJ34&gt;AK34,AI34,IF(AK34&gt;AJ34,AL34,"Draw")),"")</f>
        <v>#REF!</v>
      </c>
      <c r="AP34" s="45" t="e">
        <f>IF(AJ34&lt;&gt;"",IF(AJ34&lt;AK34,AI34,IF(AK34&lt;AJ34,AL34,"Draw")),"")</f>
        <v>#REF!</v>
      </c>
      <c r="AQ34" s="45"/>
      <c r="CR34" s="21" t="e">
        <f>#REF!</f>
        <v>#REF!</v>
      </c>
    </row>
    <row r="35" spans="2:96" ht="12.95" customHeight="1" thickBot="1" x14ac:dyDescent="0.25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AH35" s="65" t="s">
        <v>180</v>
      </c>
      <c r="AI35" s="63" t="s">
        <v>179</v>
      </c>
      <c r="AJ35" s="63" t="e">
        <f>#REF!</f>
        <v>#REF!</v>
      </c>
      <c r="AK35" s="234" t="e">
        <f>#REF!</f>
        <v>#REF!</v>
      </c>
      <c r="AL35" s="77" t="s">
        <v>170</v>
      </c>
      <c r="AM35" s="47" t="s">
        <v>171</v>
      </c>
      <c r="AN35" s="44" t="s">
        <v>172</v>
      </c>
      <c r="AO35" s="45" t="e">
        <f t="shared" ref="AO35:AO51" si="8">IF(AJ35&lt;&gt;"",IF(AJ35&gt;AK35,AI35,IF(AK35&gt;AJ35,AL35,"Draw")),"")</f>
        <v>#REF!</v>
      </c>
      <c r="AP35" s="45" t="e">
        <f t="shared" ref="AP35:AP51" si="9">IF(AJ35&lt;&gt;"",IF(AJ35&lt;AK35,AI35,IF(AK35&lt;AJ35,AL35,"Draw")),"")</f>
        <v>#REF!</v>
      </c>
      <c r="AQ35" s="45"/>
      <c r="CR35" s="21" t="e">
        <f>#REF!</f>
        <v>#REF!</v>
      </c>
    </row>
    <row r="36" spans="2:96" ht="12.95" customHeight="1" thickBot="1" x14ac:dyDescent="0.25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AH36" s="63" t="s">
        <v>181</v>
      </c>
      <c r="AI36" s="63" t="s">
        <v>182</v>
      </c>
      <c r="AJ36" s="63" t="e">
        <f>#REF!</f>
        <v>#REF!</v>
      </c>
      <c r="AK36" s="234" t="e">
        <f>#REF!</f>
        <v>#REF!</v>
      </c>
      <c r="AL36" s="77" t="s">
        <v>194</v>
      </c>
      <c r="AM36" s="48" t="s">
        <v>193</v>
      </c>
      <c r="AN36" s="44" t="s">
        <v>185</v>
      </c>
      <c r="AO36" s="45" t="e">
        <f t="shared" si="8"/>
        <v>#REF!</v>
      </c>
      <c r="AP36" s="45" t="e">
        <f t="shared" si="9"/>
        <v>#REF!</v>
      </c>
      <c r="AQ36" s="45"/>
      <c r="CR36" s="21" t="e">
        <f>#REF!</f>
        <v>#REF!</v>
      </c>
    </row>
    <row r="37" spans="2:96" ht="12.95" customHeight="1" thickBot="1" x14ac:dyDescent="0.25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AH37" s="63" t="s">
        <v>187</v>
      </c>
      <c r="AI37" s="63" t="s">
        <v>188</v>
      </c>
      <c r="AJ37" s="63" t="e">
        <f>#REF!</f>
        <v>#REF!</v>
      </c>
      <c r="AK37" s="234" t="e">
        <f>#REF!</f>
        <v>#REF!</v>
      </c>
      <c r="AL37" s="77" t="s">
        <v>199</v>
      </c>
      <c r="AM37" s="48" t="s">
        <v>198</v>
      </c>
      <c r="AN37" s="44" t="s">
        <v>126</v>
      </c>
      <c r="AO37" s="45" t="e">
        <f t="shared" si="8"/>
        <v>#REF!</v>
      </c>
      <c r="AP37" s="45" t="e">
        <f t="shared" si="9"/>
        <v>#REF!</v>
      </c>
      <c r="AQ37" s="45"/>
      <c r="CR37" s="21" t="e">
        <f>#REF!</f>
        <v>#REF!</v>
      </c>
    </row>
    <row r="38" spans="2:96" ht="12.95" customHeight="1" thickBot="1" x14ac:dyDescent="0.25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AH38" s="63" t="s">
        <v>196</v>
      </c>
      <c r="AI38" s="63" t="s">
        <v>195</v>
      </c>
      <c r="AJ38" s="63" t="e">
        <f>#REF!</f>
        <v>#REF!</v>
      </c>
      <c r="AK38" s="234" t="e">
        <f>#REF!</f>
        <v>#REF!</v>
      </c>
      <c r="AL38" s="77" t="s">
        <v>183</v>
      </c>
      <c r="AM38" s="48" t="s">
        <v>184</v>
      </c>
      <c r="AN38" s="44" t="s">
        <v>185</v>
      </c>
      <c r="AO38" s="45" t="e">
        <f t="shared" si="8"/>
        <v>#REF!</v>
      </c>
      <c r="AP38" s="45" t="e">
        <f t="shared" si="9"/>
        <v>#REF!</v>
      </c>
      <c r="AQ38" s="45"/>
      <c r="BC38" s="20"/>
      <c r="BE38" s="20"/>
      <c r="BG38" s="20"/>
      <c r="BH38" s="20"/>
      <c r="BK38" s="20"/>
      <c r="BN38" s="20"/>
      <c r="BQ38" s="20"/>
      <c r="BR38" s="20"/>
      <c r="BU38" s="20"/>
      <c r="BV38" s="20"/>
      <c r="BY38" s="20"/>
      <c r="BZ38" s="20"/>
      <c r="CB38" s="20"/>
      <c r="CC38" s="20"/>
      <c r="CD38" s="20"/>
      <c r="CI38" s="20" t="s">
        <v>131</v>
      </c>
      <c r="CJ38" s="20" t="s">
        <v>110</v>
      </c>
      <c r="CK38" s="20" t="s">
        <v>125</v>
      </c>
      <c r="CL38" s="20" t="s">
        <v>126</v>
      </c>
      <c r="CM38" s="20" t="s">
        <v>127</v>
      </c>
      <c r="CN38" s="20" t="s">
        <v>123</v>
      </c>
      <c r="CO38" s="20" t="s">
        <v>128</v>
      </c>
      <c r="CP38" s="20" t="s">
        <v>129</v>
      </c>
      <c r="CR38" s="21" t="e">
        <f>#REF!</f>
        <v>#REF!</v>
      </c>
    </row>
    <row r="39" spans="2:96" ht="12.95" customHeight="1" thickBot="1" x14ac:dyDescent="0.25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AH39" s="63" t="s">
        <v>201</v>
      </c>
      <c r="AI39" s="63" t="s">
        <v>200</v>
      </c>
      <c r="AJ39" s="63" t="e">
        <f>#REF!</f>
        <v>#REF!</v>
      </c>
      <c r="AK39" s="234" t="e">
        <f>#REF!</f>
        <v>#REF!</v>
      </c>
      <c r="AL39" s="77" t="s">
        <v>189</v>
      </c>
      <c r="AM39" s="48" t="s">
        <v>190</v>
      </c>
      <c r="AN39" s="44" t="s">
        <v>126</v>
      </c>
      <c r="AO39" s="45" t="e">
        <f t="shared" si="8"/>
        <v>#REF!</v>
      </c>
      <c r="AP39" s="45" t="e">
        <f t="shared" si="9"/>
        <v>#REF!</v>
      </c>
      <c r="AQ39" s="45"/>
      <c r="CH39" s="16">
        <f>CA39</f>
        <v>0</v>
      </c>
      <c r="CI39" s="16" t="e">
        <f>VLOOKUP($CH39,$AS39:$BA42,2,FALSE)</f>
        <v>#N/A</v>
      </c>
      <c r="CJ39" s="16" t="e">
        <f>VLOOKUP($CH39,$AS39:$BA42,3,FALSE)</f>
        <v>#N/A</v>
      </c>
      <c r="CK39" s="16" t="e">
        <f>VLOOKUP($CH39,$AS39:$BA42,4,FALSE)</f>
        <v>#N/A</v>
      </c>
      <c r="CL39" s="16" t="e">
        <f>VLOOKUP($CH39,$AS39:$BA42,5,FALSE)</f>
        <v>#N/A</v>
      </c>
      <c r="CM39" s="16" t="e">
        <f>VLOOKUP($CH39,$AS39:$BA42,6,FALSE)</f>
        <v>#N/A</v>
      </c>
      <c r="CN39" s="16" t="e">
        <f>VLOOKUP($CH39,$AS39:$BA42,7,FALSE)</f>
        <v>#N/A</v>
      </c>
      <c r="CO39" s="16" t="e">
        <f>VLOOKUP($CH39,$AS39:$BA42,8,FALSE)</f>
        <v>#N/A</v>
      </c>
      <c r="CP39" s="16" t="e">
        <f>VLOOKUP($CH39,$AS39:$BA42,9,FALSE)</f>
        <v>#N/A</v>
      </c>
      <c r="CR39" s="21" t="e">
        <f>#REF!</f>
        <v>#REF!</v>
      </c>
    </row>
    <row r="40" spans="2:96" ht="7.5" customHeight="1" thickBot="1" x14ac:dyDescent="0.25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AH40" s="69" t="s">
        <v>141</v>
      </c>
      <c r="AI40" s="70" t="s">
        <v>140</v>
      </c>
      <c r="AJ40" s="70">
        <f>I15</f>
        <v>0</v>
      </c>
      <c r="AK40" s="232">
        <f>K15</f>
        <v>0</v>
      </c>
      <c r="AL40" s="73" t="s">
        <v>120</v>
      </c>
      <c r="AM40" s="50" t="s">
        <v>119</v>
      </c>
      <c r="AN40" s="44" t="s">
        <v>123</v>
      </c>
      <c r="AO40" s="45" t="str">
        <f>IF(AJ40&lt;&gt;"",IF(AJ40&gt;AK40,AI40,IF(AK40&gt;AJ40,AL40,"Draw")),"")</f>
        <v>Draw</v>
      </c>
      <c r="AP40" s="45" t="str">
        <f>IF(AJ40&lt;&gt;"",IF(AJ40&lt;AK40,AI40,IF(AK40&lt;AJ40,AL40,"Draw")),"")</f>
        <v>Draw</v>
      </c>
      <c r="AQ40" s="45"/>
      <c r="CH40" s="16">
        <f>CA40</f>
        <v>0</v>
      </c>
      <c r="CI40" s="16" t="e">
        <f>VLOOKUP($CH40,$AS39:$BA42,2,FALSE)</f>
        <v>#N/A</v>
      </c>
      <c r="CJ40" s="16" t="e">
        <f>VLOOKUP($CH40,$AS39:$BA42,3,FALSE)</f>
        <v>#N/A</v>
      </c>
      <c r="CK40" s="16" t="e">
        <f>VLOOKUP($CH40,$AS39:$BA42,4,FALSE)</f>
        <v>#N/A</v>
      </c>
      <c r="CL40" s="16" t="e">
        <f>VLOOKUP($CH40,$AS39:$BA42,5,FALSE)</f>
        <v>#N/A</v>
      </c>
      <c r="CM40" s="16" t="e">
        <f>VLOOKUP($CH40,$AS39:$BA42,6,FALSE)</f>
        <v>#N/A</v>
      </c>
      <c r="CN40" s="16" t="e">
        <f>VLOOKUP($CH40,$AS39:$BA42,7,FALSE)</f>
        <v>#N/A</v>
      </c>
      <c r="CO40" s="16" t="e">
        <f>VLOOKUP($CH40,$AS39:$BA42,8,FALSE)</f>
        <v>#N/A</v>
      </c>
      <c r="CP40" s="16" t="e">
        <f>VLOOKUP($CH40,$AS39:$BA42,9,FALSE)</f>
        <v>#N/A</v>
      </c>
      <c r="CR40" s="21" t="e">
        <f>#REF!</f>
        <v>#REF!</v>
      </c>
    </row>
    <row r="41" spans="2:96" ht="9.75" customHeight="1" thickBot="1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AH41" s="69" t="s">
        <v>122</v>
      </c>
      <c r="AI41" s="70" t="s">
        <v>121</v>
      </c>
      <c r="AJ41" s="70" t="str">
        <f>I16</f>
        <v>…</v>
      </c>
      <c r="AK41" s="232">
        <f>K16</f>
        <v>0</v>
      </c>
      <c r="AL41" s="73" t="s">
        <v>139</v>
      </c>
      <c r="AM41" s="50" t="s">
        <v>138</v>
      </c>
      <c r="AN41" s="44" t="s">
        <v>123</v>
      </c>
      <c r="AO41" s="45" t="str">
        <f>IF(AJ41&lt;&gt;"",IF(AJ41&gt;AK41,AI41,IF(AK41&gt;AJ41,AL41,"Draw")),"")</f>
        <v>Denmark</v>
      </c>
      <c r="AP41" s="45" t="str">
        <f>IF(AJ41&lt;&gt;"",IF(AJ41&lt;AK41,AI41,IF(AK41&lt;AJ41,AL41,"Draw")),"")</f>
        <v>France</v>
      </c>
      <c r="AQ41" s="45"/>
      <c r="CH41" s="16">
        <f>CA41</f>
        <v>0</v>
      </c>
      <c r="CI41" s="16" t="e">
        <f>VLOOKUP($CH41,$AS39:$BA42,2,FALSE)</f>
        <v>#N/A</v>
      </c>
      <c r="CJ41" s="16" t="e">
        <f>VLOOKUP($CH41,$AS39:$BA42,3,FALSE)</f>
        <v>#N/A</v>
      </c>
      <c r="CK41" s="16" t="e">
        <f>VLOOKUP($CH41,$AS39:$BA42,4,FALSE)</f>
        <v>#N/A</v>
      </c>
      <c r="CL41" s="16" t="e">
        <f>VLOOKUP($CH41,$AS39:$BA42,5,FALSE)</f>
        <v>#N/A</v>
      </c>
      <c r="CM41" s="16" t="e">
        <f>VLOOKUP($CH41,$AS39:$BA42,6,FALSE)</f>
        <v>#N/A</v>
      </c>
      <c r="CN41" s="16" t="e">
        <f>VLOOKUP($CH41,$AS39:$BA42,7,FALSE)</f>
        <v>#N/A</v>
      </c>
      <c r="CO41" s="16" t="e">
        <f>VLOOKUP($CH41,$AS39:$BA42,8,FALSE)</f>
        <v>#N/A</v>
      </c>
      <c r="CP41" s="16" t="e">
        <f>VLOOKUP($CH41,$AS39:$BA42,9,FALSE)</f>
        <v>#N/A</v>
      </c>
      <c r="CR41" s="21" t="e">
        <f>#REF!</f>
        <v>#REF!</v>
      </c>
    </row>
    <row r="42" spans="2:96" ht="12.95" customHeight="1" thickBot="1" x14ac:dyDescent="0.25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AH42" s="69" t="s">
        <v>145</v>
      </c>
      <c r="AI42" s="70" t="s">
        <v>144</v>
      </c>
      <c r="AJ42" s="70" t="e">
        <f>#REF!</f>
        <v>#REF!</v>
      </c>
      <c r="AK42" s="232" t="e">
        <f>#REF!</f>
        <v>#REF!</v>
      </c>
      <c r="AL42" s="73" t="s">
        <v>134</v>
      </c>
      <c r="AM42" s="50" t="s">
        <v>133</v>
      </c>
      <c r="AN42" s="44" t="s">
        <v>137</v>
      </c>
      <c r="AO42" s="45" t="e">
        <f t="shared" si="8"/>
        <v>#REF!</v>
      </c>
      <c r="AP42" s="45" t="e">
        <f t="shared" si="9"/>
        <v>#REF!</v>
      </c>
      <c r="AQ42" s="45"/>
      <c r="CH42" s="16">
        <f>CA42</f>
        <v>0</v>
      </c>
      <c r="CI42" s="16" t="e">
        <f>VLOOKUP($CH42,$AS39:$BA42,2,FALSE)</f>
        <v>#N/A</v>
      </c>
      <c r="CJ42" s="16" t="e">
        <f>VLOOKUP($CH42,$AS39:$BA42,3,FALSE)</f>
        <v>#N/A</v>
      </c>
      <c r="CK42" s="16" t="e">
        <f>VLOOKUP($CH42,$AS39:$BA42,4,FALSE)</f>
        <v>#N/A</v>
      </c>
      <c r="CL42" s="16" t="e">
        <f>VLOOKUP($CH42,$AS39:$BA42,5,FALSE)</f>
        <v>#N/A</v>
      </c>
      <c r="CM42" s="16" t="e">
        <f>VLOOKUP($CH42,$AS39:$BA42,6,FALSE)</f>
        <v>#N/A</v>
      </c>
      <c r="CN42" s="16" t="e">
        <f>VLOOKUP($CH42,$AS39:$BA42,7,FALSE)</f>
        <v>#N/A</v>
      </c>
      <c r="CO42" s="16" t="e">
        <f>VLOOKUP($CH42,$AS39:$BA42,8,FALSE)</f>
        <v>#N/A</v>
      </c>
      <c r="CP42" s="16" t="e">
        <f>VLOOKUP($CH42,$AS39:$BA42,9,FALSE)</f>
        <v>#N/A</v>
      </c>
      <c r="CR42" s="21" t="e">
        <f>#REF!</f>
        <v>#REF!</v>
      </c>
    </row>
    <row r="43" spans="2:96" ht="12.95" customHeight="1" thickBot="1" x14ac:dyDescent="0.25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AH43" s="69" t="s">
        <v>136</v>
      </c>
      <c r="AI43" s="70" t="s">
        <v>135</v>
      </c>
      <c r="AJ43" s="70" t="e">
        <f>#REF!</f>
        <v>#REF!</v>
      </c>
      <c r="AK43" s="232" t="e">
        <f>#REF!</f>
        <v>#REF!</v>
      </c>
      <c r="AL43" s="73" t="s">
        <v>143</v>
      </c>
      <c r="AM43" s="50" t="s">
        <v>142</v>
      </c>
      <c r="AN43" s="44" t="s">
        <v>137</v>
      </c>
      <c r="AO43" s="45" t="e">
        <f t="shared" si="8"/>
        <v>#REF!</v>
      </c>
      <c r="AP43" s="45" t="e">
        <f t="shared" si="9"/>
        <v>#REF!</v>
      </c>
      <c r="AQ43" s="45"/>
      <c r="CR43" s="21" t="e">
        <f>#REF!</f>
        <v>#REF!</v>
      </c>
    </row>
    <row r="44" spans="2:96" ht="12.95" customHeight="1" thickBot="1" x14ac:dyDescent="0.25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AH44" s="69" t="s">
        <v>158</v>
      </c>
      <c r="AI44" s="70" t="s">
        <v>157</v>
      </c>
      <c r="AJ44" s="70" t="e">
        <f>#REF!</f>
        <v>#REF!</v>
      </c>
      <c r="AK44" s="232" t="e">
        <f>#REF!</f>
        <v>#REF!</v>
      </c>
      <c r="AL44" s="73" t="s">
        <v>147</v>
      </c>
      <c r="AM44" s="50" t="s">
        <v>146</v>
      </c>
      <c r="AN44" s="44" t="s">
        <v>127</v>
      </c>
      <c r="AO44" s="45" t="e">
        <f>IF(AJ44&lt;&gt;"",IF(AJ44&gt;AK44,AI44,IF(AK44&gt;AJ44,AL44,"Draw")),"")</f>
        <v>#REF!</v>
      </c>
      <c r="AP44" s="45" t="e">
        <f>IF(AJ44&lt;&gt;"",IF(AJ44&lt;AK44,AI44,IF(AK44&lt;AJ44,AL44,"Draw")),"")</f>
        <v>#REF!</v>
      </c>
      <c r="AQ44" s="45"/>
      <c r="CR44" s="21" t="e">
        <f>#REF!</f>
        <v>#REF!</v>
      </c>
    </row>
    <row r="45" spans="2:96" ht="12.95" customHeight="1" thickBot="1" x14ac:dyDescent="0.25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AH45" s="69" t="s">
        <v>149</v>
      </c>
      <c r="AI45" s="70" t="s">
        <v>148</v>
      </c>
      <c r="AJ45" s="70" t="e">
        <f>#REF!</f>
        <v>#REF!</v>
      </c>
      <c r="AK45" s="232" t="e">
        <f>#REF!</f>
        <v>#REF!</v>
      </c>
      <c r="AL45" s="73" t="s">
        <v>156</v>
      </c>
      <c r="AM45" s="50" t="s">
        <v>155</v>
      </c>
      <c r="AN45" s="44" t="s">
        <v>127</v>
      </c>
      <c r="AO45" s="45" t="e">
        <f>IF(AJ45&lt;&gt;"",IF(AJ45&gt;AK45,AI45,IF(AK45&gt;AJ45,AL45,"Draw")),"")</f>
        <v>#REF!</v>
      </c>
      <c r="AP45" s="45" t="e">
        <f>IF(AJ45&lt;&gt;"",IF(AJ45&lt;AK45,AI45,IF(AK45&lt;AJ45,AL45,"Draw")),"")</f>
        <v>#REF!</v>
      </c>
      <c r="AQ45" s="45"/>
      <c r="CR45" s="21" t="e">
        <f>#REF!</f>
        <v>#REF!</v>
      </c>
    </row>
    <row r="46" spans="2:96" ht="12.95" customHeight="1" thickBot="1" x14ac:dyDescent="0.25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AH46" s="69" t="s">
        <v>163</v>
      </c>
      <c r="AI46" s="70" t="s">
        <v>162</v>
      </c>
      <c r="AJ46" s="70">
        <f>Z15</f>
        <v>1</v>
      </c>
      <c r="AK46" s="232">
        <f>AB15</f>
        <v>0</v>
      </c>
      <c r="AL46" s="73" t="s">
        <v>151</v>
      </c>
      <c r="AM46" s="50" t="s">
        <v>150</v>
      </c>
      <c r="AN46" s="44" t="s">
        <v>154</v>
      </c>
      <c r="AO46" s="45" t="str">
        <f>IF(AJ46&lt;&gt;"",IF(AJ46&gt;AK46,AI46,IF(AK46&gt;AJ46,AL46,"Draw")),"")</f>
        <v>Slovenia</v>
      </c>
      <c r="AP46" s="45" t="str">
        <f>IF(AJ46&lt;&gt;"",IF(AJ46&lt;AK46,AI46,IF(AK46&lt;AJ46,AL46,"Draw")),"")</f>
        <v>Paraguay</v>
      </c>
      <c r="AQ46" s="45"/>
      <c r="CH46" s="16">
        <f>CA46</f>
        <v>0</v>
      </c>
      <c r="CI46" s="16" t="e">
        <f>VLOOKUP($CH46,$AS46:$BA49,2,FALSE)</f>
        <v>#N/A</v>
      </c>
      <c r="CJ46" s="16" t="e">
        <f>VLOOKUP($CH46,$AS46:$BA49,3,FALSE)</f>
        <v>#N/A</v>
      </c>
      <c r="CK46" s="16" t="e">
        <f>VLOOKUP($CH46,$AS46:$BA49,4,FALSE)</f>
        <v>#N/A</v>
      </c>
      <c r="CL46" s="16" t="e">
        <f>VLOOKUP($CH46,$AS46:$BA49,5,FALSE)</f>
        <v>#N/A</v>
      </c>
      <c r="CM46" s="16" t="e">
        <f>VLOOKUP($CH46,$AS46:$BA49,6,FALSE)</f>
        <v>#N/A</v>
      </c>
      <c r="CN46" s="16" t="e">
        <f>VLOOKUP($CH46,$AS46:$BA49,7,FALSE)</f>
        <v>#N/A</v>
      </c>
      <c r="CO46" s="16" t="e">
        <f>VLOOKUP($CH46,$AS46:$BA49,8,FALSE)</f>
        <v>#N/A</v>
      </c>
      <c r="CP46" s="16" t="e">
        <f>VLOOKUP($CH46,$AS46:$BA49,9,FALSE)</f>
        <v>#N/A</v>
      </c>
      <c r="CR46" s="21" t="e">
        <f>#REF!</f>
        <v>#REF!</v>
      </c>
    </row>
    <row r="47" spans="2:96" ht="12.95" customHeight="1" thickBot="1" x14ac:dyDescent="0.25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AH47" s="69" t="s">
        <v>153</v>
      </c>
      <c r="AI47" s="70" t="s">
        <v>152</v>
      </c>
      <c r="AJ47" s="70">
        <f>Z16</f>
        <v>2</v>
      </c>
      <c r="AK47" s="232">
        <f>AB16</f>
        <v>1</v>
      </c>
      <c r="AL47" s="73" t="s">
        <v>161</v>
      </c>
      <c r="AM47" s="50" t="s">
        <v>160</v>
      </c>
      <c r="AN47" s="44" t="s">
        <v>154</v>
      </c>
      <c r="AO47" s="45" t="str">
        <f>IF(AJ47&lt;&gt;"",IF(AJ47&gt;AK47,AI47,IF(AK47&gt;AJ47,AL47,"Draw")),"")</f>
        <v>South Africa</v>
      </c>
      <c r="AP47" s="45" t="str">
        <f>IF(AJ47&lt;&gt;"",IF(AJ47&lt;AK47,AI47,IF(AK47&lt;AJ47,AL47,"Draw")),"")</f>
        <v>Spain</v>
      </c>
      <c r="AQ47" s="45"/>
      <c r="CH47" s="16">
        <f>CA47</f>
        <v>0</v>
      </c>
      <c r="CI47" s="16" t="e">
        <f>VLOOKUP($CH47,$AS46:$BA49,2,FALSE)</f>
        <v>#N/A</v>
      </c>
      <c r="CJ47" s="16" t="e">
        <f>VLOOKUP($CH47,$AS46:$BA49,3,FALSE)</f>
        <v>#N/A</v>
      </c>
      <c r="CK47" s="16" t="e">
        <f>VLOOKUP($CH47,$AS46:$BA49,4,FALSE)</f>
        <v>#N/A</v>
      </c>
      <c r="CL47" s="16" t="e">
        <f>VLOOKUP($CH47,$AS46:$BA49,5,FALSE)</f>
        <v>#N/A</v>
      </c>
      <c r="CM47" s="16" t="e">
        <f>VLOOKUP($CH47,$AS46:$BA49,6,FALSE)</f>
        <v>#N/A</v>
      </c>
      <c r="CN47" s="16" t="e">
        <f>VLOOKUP($CH47,$AS46:$BA49,7,FALSE)</f>
        <v>#N/A</v>
      </c>
      <c r="CO47" s="16" t="e">
        <f>VLOOKUP($CH47,$AS46:$BA49,8,FALSE)</f>
        <v>#N/A</v>
      </c>
      <c r="CP47" s="16" t="e">
        <f>VLOOKUP($CH47,$AS46:$BA49,9,FALSE)</f>
        <v>#N/A</v>
      </c>
      <c r="CR47" s="21" t="e">
        <f>#REF!</f>
        <v>#REF!</v>
      </c>
    </row>
    <row r="48" spans="2:96" ht="13.5" thickBot="1" x14ac:dyDescent="0.25">
      <c r="AH48" s="69" t="s">
        <v>171</v>
      </c>
      <c r="AI48" s="70" t="s">
        <v>170</v>
      </c>
      <c r="AJ48" s="70" t="e">
        <f>#REF!</f>
        <v>#REF!</v>
      </c>
      <c r="AK48" s="232" t="e">
        <f>#REF!</f>
        <v>#REF!</v>
      </c>
      <c r="AL48" s="73" t="s">
        <v>178</v>
      </c>
      <c r="AM48" s="52" t="s">
        <v>177</v>
      </c>
      <c r="AN48" s="44" t="s">
        <v>172</v>
      </c>
      <c r="AO48" s="45" t="e">
        <f t="shared" si="8"/>
        <v>#REF!</v>
      </c>
      <c r="AP48" s="45" t="e">
        <f t="shared" si="9"/>
        <v>#REF!</v>
      </c>
      <c r="AQ48" s="45"/>
      <c r="CH48" s="16">
        <f>CA48</f>
        <v>0</v>
      </c>
      <c r="CI48" s="16" t="e">
        <f>VLOOKUP($CH48,$AS46:$BA49,2,FALSE)</f>
        <v>#N/A</v>
      </c>
      <c r="CJ48" s="16" t="e">
        <f>VLOOKUP($CH48,$AS46:$BA49,3,FALSE)</f>
        <v>#N/A</v>
      </c>
      <c r="CK48" s="16" t="e">
        <f>VLOOKUP($CH48,$AS46:$BA49,4,FALSE)</f>
        <v>#N/A</v>
      </c>
      <c r="CL48" s="16" t="e">
        <f>VLOOKUP($CH48,$AS46:$BA49,5,FALSE)</f>
        <v>#N/A</v>
      </c>
      <c r="CM48" s="16" t="e">
        <f>VLOOKUP($CH48,$AS46:$BA49,6,FALSE)</f>
        <v>#N/A</v>
      </c>
      <c r="CN48" s="16" t="e">
        <f>VLOOKUP($CH48,$AS46:$BA49,7,FALSE)</f>
        <v>#N/A</v>
      </c>
      <c r="CO48" s="16" t="e">
        <f>VLOOKUP($CH48,$AS46:$BA49,8,FALSE)</f>
        <v>#N/A</v>
      </c>
      <c r="CP48" s="16" t="e">
        <f>VLOOKUP($CH48,$AS46:$BA49,9,FALSE)</f>
        <v>#N/A</v>
      </c>
      <c r="CR48" s="21" t="e">
        <f>#REF!</f>
        <v>#REF!</v>
      </c>
    </row>
    <row r="49" spans="2:96" ht="13.5" thickBot="1" x14ac:dyDescent="0.25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AH49" s="70" t="s">
        <v>180</v>
      </c>
      <c r="AI49" s="70" t="s">
        <v>179</v>
      </c>
      <c r="AJ49" s="70" t="e">
        <f>#REF!</f>
        <v>#REF!</v>
      </c>
      <c r="AK49" s="232" t="e">
        <f>#REF!</f>
        <v>#REF!</v>
      </c>
      <c r="AL49" s="73" t="s">
        <v>169</v>
      </c>
      <c r="AM49" s="51" t="s">
        <v>168</v>
      </c>
      <c r="AN49" s="44" t="s">
        <v>172</v>
      </c>
      <c r="AO49" s="45" t="e">
        <f t="shared" si="8"/>
        <v>#REF!</v>
      </c>
      <c r="AP49" s="45" t="e">
        <f t="shared" si="9"/>
        <v>#REF!</v>
      </c>
      <c r="AQ49" s="45"/>
      <c r="CH49" s="16">
        <f>CA49</f>
        <v>0</v>
      </c>
      <c r="CI49" s="16" t="e">
        <f>VLOOKUP($CH49,$AS46:$BA49,2,FALSE)</f>
        <v>#N/A</v>
      </c>
      <c r="CJ49" s="16" t="e">
        <f>VLOOKUP($CH49,$AS46:$BA49,3,FALSE)</f>
        <v>#N/A</v>
      </c>
      <c r="CK49" s="16" t="e">
        <f>VLOOKUP($CH49,$AS46:$BA49,4,FALSE)</f>
        <v>#N/A</v>
      </c>
      <c r="CL49" s="16" t="e">
        <f>VLOOKUP($CH49,$AS46:$BA49,5,FALSE)</f>
        <v>#N/A</v>
      </c>
      <c r="CM49" s="16" t="e">
        <f>VLOOKUP($CH49,$AS46:$BA49,6,FALSE)</f>
        <v>#N/A</v>
      </c>
      <c r="CN49" s="16" t="e">
        <f>VLOOKUP($CH49,$AS46:$BA49,7,FALSE)</f>
        <v>#N/A</v>
      </c>
      <c r="CO49" s="16" t="e">
        <f>VLOOKUP($CH49,$AS46:$BA49,8,FALSE)</f>
        <v>#N/A</v>
      </c>
      <c r="CP49" s="16" t="e">
        <f>VLOOKUP($CH49,$AS46:$BA49,9,FALSE)</f>
        <v>#N/A</v>
      </c>
      <c r="CR49" s="21" t="e">
        <f>#REF!</f>
        <v>#REF!</v>
      </c>
    </row>
    <row r="50" spans="2:96" ht="12.95" customHeight="1" thickBot="1" x14ac:dyDescent="0.25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AH50" s="69" t="s">
        <v>176</v>
      </c>
      <c r="AI50" s="70" t="s">
        <v>175</v>
      </c>
      <c r="AJ50" s="70" t="e">
        <f>#REF!</f>
        <v>#REF!</v>
      </c>
      <c r="AK50" s="232" t="e">
        <f>#REF!</f>
        <v>#REF!</v>
      </c>
      <c r="AL50" s="73" t="s">
        <v>165</v>
      </c>
      <c r="AM50" s="50" t="s">
        <v>164</v>
      </c>
      <c r="AN50" s="44" t="s">
        <v>111</v>
      </c>
      <c r="AO50" s="45" t="e">
        <f t="shared" si="8"/>
        <v>#REF!</v>
      </c>
      <c r="AP50" s="45" t="e">
        <f t="shared" si="9"/>
        <v>#REF!</v>
      </c>
      <c r="AQ50" s="45"/>
      <c r="CR50" s="21" t="e">
        <f>#REF!</f>
        <v>#REF!</v>
      </c>
    </row>
    <row r="51" spans="2:96" ht="12.95" customHeight="1" thickBot="1" x14ac:dyDescent="0.25"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AH51" s="70" t="s">
        <v>167</v>
      </c>
      <c r="AI51" s="70" t="s">
        <v>166</v>
      </c>
      <c r="AJ51" s="70" t="e">
        <f>#REF!</f>
        <v>#REF!</v>
      </c>
      <c r="AK51" s="232" t="e">
        <f>#REF!</f>
        <v>#REF!</v>
      </c>
      <c r="AL51" s="73" t="s">
        <v>174</v>
      </c>
      <c r="AM51" s="51" t="s">
        <v>173</v>
      </c>
      <c r="AN51" s="44" t="s">
        <v>111</v>
      </c>
      <c r="AO51" s="45" t="e">
        <f t="shared" si="8"/>
        <v>#REF!</v>
      </c>
      <c r="AP51" s="45" t="e">
        <f t="shared" si="9"/>
        <v>#REF!</v>
      </c>
      <c r="AQ51" s="45"/>
      <c r="CR51" s="21" t="e">
        <f>#REF!</f>
        <v>#REF!</v>
      </c>
    </row>
    <row r="52" spans="2:96" ht="12.95" customHeight="1" thickBot="1" x14ac:dyDescent="0.25"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AH52" s="70" t="s">
        <v>184</v>
      </c>
      <c r="AI52" s="70" t="s">
        <v>183</v>
      </c>
      <c r="AJ52" s="70" t="e">
        <f>#REF!</f>
        <v>#REF!</v>
      </c>
      <c r="AK52" s="232" t="e">
        <f>#REF!</f>
        <v>#REF!</v>
      </c>
      <c r="AL52" s="73" t="s">
        <v>194</v>
      </c>
      <c r="AM52" s="51" t="s">
        <v>193</v>
      </c>
      <c r="AN52" s="44" t="s">
        <v>185</v>
      </c>
      <c r="AO52" s="45" t="e">
        <f>IF(AJ52&lt;&gt;"",IF(AJ52&gt;AK52,AI52,IF(AK52&gt;AJ52,AL52,"Draw")),"")</f>
        <v>#REF!</v>
      </c>
      <c r="AP52" s="45" t="e">
        <f>IF(AJ52&lt;&gt;"",IF(AJ52&lt;AK52,AI52,IF(AK52&lt;AJ52,AL52,"Draw")),"")</f>
        <v>#REF!</v>
      </c>
      <c r="AQ52" s="45"/>
      <c r="CR52" s="21" t="e">
        <f>#REF!</f>
        <v>#REF!</v>
      </c>
    </row>
    <row r="53" spans="2:96" ht="12.95" customHeight="1" thickBot="1" x14ac:dyDescent="0.25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AH53" s="70" t="s">
        <v>196</v>
      </c>
      <c r="AI53" s="70" t="s">
        <v>195</v>
      </c>
      <c r="AJ53" s="70" t="e">
        <f>#REF!</f>
        <v>#REF!</v>
      </c>
      <c r="AK53" s="232" t="e">
        <f>#REF!</f>
        <v>#REF!</v>
      </c>
      <c r="AL53" s="73" t="s">
        <v>182</v>
      </c>
      <c r="AM53" s="51" t="s">
        <v>181</v>
      </c>
      <c r="AN53" s="44" t="s">
        <v>185</v>
      </c>
      <c r="AO53" s="45" t="e">
        <f>IF(AJ53&lt;&gt;"",IF(AJ53&gt;AK53,AI53,IF(AK53&gt;AJ53,AL53,"Draw")),"")</f>
        <v>#REF!</v>
      </c>
      <c r="AP53" s="45" t="e">
        <f>IF(AJ53&lt;&gt;"",IF(AJ53&lt;AK53,AI53,IF(AK53&lt;AJ53,AL53,"Draw")),"")</f>
        <v>#REF!</v>
      </c>
      <c r="AQ53" s="45"/>
      <c r="CH53" s="16">
        <f>CA53</f>
        <v>0</v>
      </c>
      <c r="CI53" s="16" t="e">
        <f>VLOOKUP($CH53,$AS53:$BA56,2,FALSE)</f>
        <v>#N/A</v>
      </c>
      <c r="CJ53" s="16" t="e">
        <f>VLOOKUP($CH53,$AS53:$BA56,3,FALSE)</f>
        <v>#N/A</v>
      </c>
      <c r="CK53" s="16" t="e">
        <f>VLOOKUP($CH53,$AS53:$BA56,4,FALSE)</f>
        <v>#N/A</v>
      </c>
      <c r="CL53" s="16" t="e">
        <f>VLOOKUP($CH53,$AS53:$BA56,5,FALSE)</f>
        <v>#N/A</v>
      </c>
      <c r="CM53" s="16" t="e">
        <f>VLOOKUP($CH53,$AS53:$BA56,6,FALSE)</f>
        <v>#N/A</v>
      </c>
      <c r="CN53" s="16" t="e">
        <f>VLOOKUP($CH53,$AS53:$BA56,7,FALSE)</f>
        <v>#N/A</v>
      </c>
      <c r="CO53" s="16" t="e">
        <f>VLOOKUP($CH53,$AS53:$BA56,8,FALSE)</f>
        <v>#N/A</v>
      </c>
      <c r="CP53" s="16" t="e">
        <f>VLOOKUP($CH53,$AS53:$BA56,9,FALSE)</f>
        <v>#N/A</v>
      </c>
      <c r="CR53" s="21" t="e">
        <f>#REF!</f>
        <v>#REF!</v>
      </c>
    </row>
    <row r="54" spans="2:96" ht="12.95" customHeight="1" thickBot="1" x14ac:dyDescent="0.2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AH54" s="70" t="s">
        <v>190</v>
      </c>
      <c r="AI54" s="70" t="s">
        <v>189</v>
      </c>
      <c r="AJ54" s="70" t="e">
        <f>#REF!</f>
        <v>#REF!</v>
      </c>
      <c r="AK54" s="232" t="e">
        <f>#REF!</f>
        <v>#REF!</v>
      </c>
      <c r="AL54" s="73" t="s">
        <v>199</v>
      </c>
      <c r="AM54" s="51" t="s">
        <v>198</v>
      </c>
      <c r="AN54" s="44" t="s">
        <v>126</v>
      </c>
      <c r="AO54" s="45" t="e">
        <f>IF(AJ54&lt;&gt;"",IF(AJ54&gt;AK54,AI54,IF(AK54&gt;AJ54,AL54,"Draw")),"")</f>
        <v>#REF!</v>
      </c>
      <c r="AP54" s="45" t="e">
        <f>IF(AJ54&lt;&gt;"",IF(AJ54&lt;AK54,AI54,IF(AK54&lt;AJ54,AL54,"Draw")),"")</f>
        <v>#REF!</v>
      </c>
      <c r="AQ54" s="45"/>
      <c r="CH54" s="16">
        <f>CA54</f>
        <v>0</v>
      </c>
      <c r="CI54" s="16" t="e">
        <f>VLOOKUP($CH54,$AS53:$BA56,2,FALSE)</f>
        <v>#N/A</v>
      </c>
      <c r="CJ54" s="16" t="e">
        <f>VLOOKUP($CH54,$AS53:$BA56,3,FALSE)</f>
        <v>#N/A</v>
      </c>
      <c r="CK54" s="16" t="e">
        <f>VLOOKUP($CH54,$AS53:$BA56,4,FALSE)</f>
        <v>#N/A</v>
      </c>
      <c r="CL54" s="16" t="e">
        <f>VLOOKUP($CH54,$AS53:$BA56,5,FALSE)</f>
        <v>#N/A</v>
      </c>
      <c r="CM54" s="16" t="e">
        <f>VLOOKUP($CH54,$AS53:$BA56,6,FALSE)</f>
        <v>#N/A</v>
      </c>
      <c r="CN54" s="16" t="e">
        <f>VLOOKUP($CH54,$AS53:$BA56,7,FALSE)</f>
        <v>#N/A</v>
      </c>
      <c r="CO54" s="16" t="e">
        <f>VLOOKUP($CH54,$AS53:$BA56,8,FALSE)</f>
        <v>#N/A</v>
      </c>
      <c r="CP54" s="16" t="e">
        <f>VLOOKUP($CH54,$AS53:$BA56,9,FALSE)</f>
        <v>#N/A</v>
      </c>
      <c r="CR54" s="21" t="e">
        <f>#REF!</f>
        <v>#REF!</v>
      </c>
    </row>
    <row r="55" spans="2:96" ht="7.5" customHeight="1" thickBot="1" x14ac:dyDescent="0.25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AH55" s="69" t="s">
        <v>201</v>
      </c>
      <c r="AI55" s="70" t="s">
        <v>200</v>
      </c>
      <c r="AJ55" s="70" t="e">
        <f>#REF!</f>
        <v>#REF!</v>
      </c>
      <c r="AK55" s="232" t="e">
        <f>#REF!</f>
        <v>#REF!</v>
      </c>
      <c r="AL55" s="73" t="s">
        <v>188</v>
      </c>
      <c r="AM55" s="50" t="s">
        <v>187</v>
      </c>
      <c r="AN55" s="44" t="s">
        <v>126</v>
      </c>
      <c r="AO55" s="45" t="e">
        <f>IF(AJ55&lt;&gt;"",IF(AJ55&gt;AK55,AI55,IF(AK55&gt;AJ55,AL55,"Draw")),"")</f>
        <v>#REF!</v>
      </c>
      <c r="AP55" s="45" t="e">
        <f>IF(AJ55&lt;&gt;"",IF(AJ55&lt;AK55,AI55,IF(AK55&lt;AJ55,AL55,"Draw")),"")</f>
        <v>#REF!</v>
      </c>
      <c r="AQ55" s="45"/>
      <c r="CH55" s="16">
        <f>CA55</f>
        <v>0</v>
      </c>
      <c r="CI55" s="16" t="e">
        <f>VLOOKUP($CH55,$AS53:$BA56,2,FALSE)</f>
        <v>#N/A</v>
      </c>
      <c r="CJ55" s="16" t="e">
        <f>VLOOKUP($CH55,$AS53:$BA56,3,FALSE)</f>
        <v>#N/A</v>
      </c>
      <c r="CK55" s="16" t="e">
        <f>VLOOKUP($CH55,$AS53:$BA56,4,FALSE)</f>
        <v>#N/A</v>
      </c>
      <c r="CL55" s="16" t="e">
        <f>VLOOKUP($CH55,$AS53:$BA56,5,FALSE)</f>
        <v>#N/A</v>
      </c>
      <c r="CM55" s="16" t="e">
        <f>VLOOKUP($CH55,$AS53:$BA56,6,FALSE)</f>
        <v>#N/A</v>
      </c>
      <c r="CN55" s="16" t="e">
        <f>VLOOKUP($CH55,$AS53:$BA56,7,FALSE)</f>
        <v>#N/A</v>
      </c>
      <c r="CO55" s="16" t="e">
        <f>VLOOKUP($CH55,$AS53:$BA56,8,FALSE)</f>
        <v>#N/A</v>
      </c>
      <c r="CP55" s="16" t="e">
        <f>VLOOKUP($CH55,$AS53:$BA56,9,FALSE)</f>
        <v>#N/A</v>
      </c>
      <c r="CR55" s="21" t="e">
        <f>#REF!</f>
        <v>#REF!</v>
      </c>
    </row>
    <row r="56" spans="2:96" ht="9.75" customHeight="1" x14ac:dyDescent="0.2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AI56" s="77"/>
      <c r="AJ56" s="63"/>
      <c r="AK56" s="78"/>
      <c r="AL56" s="78"/>
      <c r="AM56" s="47"/>
      <c r="AN56" s="45"/>
      <c r="AO56" s="45"/>
      <c r="AP56" s="45"/>
      <c r="AQ56" s="45"/>
      <c r="CH56" s="16">
        <f>CA56</f>
        <v>0</v>
      </c>
      <c r="CI56" s="16" t="e">
        <f>VLOOKUP($CH56,$AS53:$BA56,2,FALSE)</f>
        <v>#N/A</v>
      </c>
      <c r="CJ56" s="16" t="e">
        <f>VLOOKUP($CH56,$AS53:$BA56,3,FALSE)</f>
        <v>#N/A</v>
      </c>
      <c r="CK56" s="16" t="e">
        <f>VLOOKUP($CH56,$AS53:$BA56,4,FALSE)</f>
        <v>#N/A</v>
      </c>
      <c r="CL56" s="16" t="e">
        <f>VLOOKUP($CH56,$AS53:$BA56,5,FALSE)</f>
        <v>#N/A</v>
      </c>
      <c r="CM56" s="16" t="e">
        <f>VLOOKUP($CH56,$AS53:$BA56,6,FALSE)</f>
        <v>#N/A</v>
      </c>
      <c r="CN56" s="16" t="e">
        <f>VLOOKUP($CH56,$AS53:$BA56,7,FALSE)</f>
        <v>#N/A</v>
      </c>
      <c r="CO56" s="16" t="e">
        <f>VLOOKUP($CH56,$AS53:$BA56,8,FALSE)</f>
        <v>#N/A</v>
      </c>
      <c r="CP56" s="16" t="e">
        <f>VLOOKUP($CH56,$AS53:$BA56,9,FALSE)</f>
        <v>#N/A</v>
      </c>
      <c r="CR56" s="21"/>
    </row>
    <row r="57" spans="2:96" ht="12.95" customHeight="1" x14ac:dyDescent="0.2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AI57" s="77"/>
      <c r="AJ57" s="63"/>
      <c r="AK57" s="78"/>
      <c r="AL57" s="78"/>
      <c r="AM57" s="47"/>
      <c r="AN57" s="45"/>
      <c r="AO57" s="45"/>
      <c r="AP57" s="45"/>
      <c r="AQ57" s="45"/>
      <c r="CR57" s="21"/>
    </row>
    <row r="58" spans="2:96" ht="12.95" customHeight="1" x14ac:dyDescent="0.2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AI58" s="79"/>
      <c r="AJ58" s="80"/>
      <c r="AK58" s="79"/>
      <c r="AL58" s="79"/>
      <c r="AM58" s="47"/>
      <c r="AN58" s="42"/>
      <c r="AO58" s="41"/>
      <c r="AP58" s="41"/>
      <c r="CR58" s="21"/>
    </row>
    <row r="59" spans="2:96" ht="12.95" customHeight="1" x14ac:dyDescent="0.2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AI59" s="81"/>
      <c r="AJ59" s="80"/>
      <c r="AK59" s="81"/>
      <c r="AL59" s="81"/>
      <c r="AM59" s="47"/>
      <c r="AN59" s="43"/>
      <c r="AO59" s="41"/>
      <c r="AP59" s="41"/>
      <c r="CR59" s="21"/>
    </row>
    <row r="60" spans="2:96" ht="12.95" customHeight="1" thickBot="1" x14ac:dyDescent="0.25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AI60" s="239"/>
      <c r="AJ60" s="240"/>
      <c r="AK60" s="82"/>
      <c r="AL60" s="82"/>
      <c r="AM60" s="47"/>
      <c r="AN60" s="41"/>
      <c r="AO60" s="41"/>
      <c r="AP60" s="41"/>
      <c r="CH60" s="16">
        <f>CA60</f>
        <v>0</v>
      </c>
      <c r="CI60" s="16" t="e">
        <f>VLOOKUP($CH60,$AS60:$BA63,2,FALSE)</f>
        <v>#N/A</v>
      </c>
      <c r="CJ60" s="16" t="e">
        <f>VLOOKUP($CH60,$AS60:$BA63,3,FALSE)</f>
        <v>#N/A</v>
      </c>
      <c r="CK60" s="16" t="e">
        <f>VLOOKUP($CH60,$AS60:$BA63,4,FALSE)</f>
        <v>#N/A</v>
      </c>
      <c r="CL60" s="16" t="e">
        <f>VLOOKUP($CH60,$AS60:$BA63,5,FALSE)</f>
        <v>#N/A</v>
      </c>
      <c r="CM60" s="16" t="e">
        <f>VLOOKUP($CH60,$AS60:$BA63,6,FALSE)</f>
        <v>#N/A</v>
      </c>
      <c r="CN60" s="16" t="e">
        <f>VLOOKUP($CH60,$AS60:$BA63,7,FALSE)</f>
        <v>#N/A</v>
      </c>
      <c r="CO60" s="16" t="e">
        <f>VLOOKUP($CH60,$AS60:$BA63,8,FALSE)</f>
        <v>#N/A</v>
      </c>
      <c r="CP60" s="16" t="e">
        <f>VLOOKUP($CH60,$AS60:$BA63,9,FALSE)</f>
        <v>#N/A</v>
      </c>
      <c r="CR60" s="21"/>
    </row>
    <row r="61" spans="2:96" ht="12.95" customHeight="1" thickBot="1" x14ac:dyDescent="0.25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AI61" s="240" t="e">
        <f>IF(#REF!=3,#REF!,"Winner E")</f>
        <v>#REF!</v>
      </c>
      <c r="AJ61" s="240"/>
      <c r="AK61" s="236"/>
      <c r="AL61" s="82" t="e">
        <f>IF(X6=3,T6,"Runner-Up B")</f>
        <v>#REF!</v>
      </c>
      <c r="AM61" s="47"/>
      <c r="AN61" s="41"/>
      <c r="AO61" s="41" t="str">
        <f>IF(AJ61&lt;&gt;"",IF(AJ61&gt;AK61,AI61,IF(AK61&gt;AJ61,AL61,"Draw")),"Second Rd 1")</f>
        <v>Second Rd 1</v>
      </c>
      <c r="AP61" s="41"/>
      <c r="CH61" s="16">
        <f>CA61</f>
        <v>0</v>
      </c>
      <c r="CI61" s="16" t="e">
        <f>VLOOKUP($CH61,$AS60:$BA63,2,FALSE)</f>
        <v>#N/A</v>
      </c>
      <c r="CJ61" s="16" t="e">
        <f>VLOOKUP($CH61,$AS60:$BA63,3,FALSE)</f>
        <v>#N/A</v>
      </c>
      <c r="CK61" s="16" t="e">
        <f>VLOOKUP($CH61,$AS60:$BA63,4,FALSE)</f>
        <v>#N/A</v>
      </c>
      <c r="CL61" s="16" t="e">
        <f>VLOOKUP($CH61,$AS60:$BA63,5,FALSE)</f>
        <v>#N/A</v>
      </c>
      <c r="CM61" s="16" t="e">
        <f>VLOOKUP($CH61,$AS60:$BA63,6,FALSE)</f>
        <v>#N/A</v>
      </c>
      <c r="CN61" s="16" t="e">
        <f>VLOOKUP($CH61,$AS60:$BA63,7,FALSE)</f>
        <v>#N/A</v>
      </c>
      <c r="CO61" s="16" t="e">
        <f>VLOOKUP($CH61,$AS60:$BA63,8,FALSE)</f>
        <v>#N/A</v>
      </c>
      <c r="CP61" s="16" t="e">
        <f>VLOOKUP($CH61,$AS60:$BA63,9,FALSE)</f>
        <v>#N/A</v>
      </c>
      <c r="CR61" s="21" t="e">
        <f>#REF!</f>
        <v>#REF!</v>
      </c>
    </row>
    <row r="62" spans="2:96" ht="12.95" customHeight="1" thickBot="1" x14ac:dyDescent="0.25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AI62" s="240" t="e">
        <f>IF(G5=3,C5,"Winner A")</f>
        <v>#REF!</v>
      </c>
      <c r="AJ62" s="240"/>
      <c r="AK62" s="236"/>
      <c r="AL62" s="82" t="e">
        <f>IF(#REF!=3,#REF!,"Runner-Up F")</f>
        <v>#REF!</v>
      </c>
      <c r="AM62" s="47"/>
      <c r="AN62" s="41"/>
      <c r="AO62" s="41" t="str">
        <f>IF(AJ62&lt;&gt;"",IF(AJ62&gt;AK62,AI62,IF(AK62&gt;AJ62,AL62,"Draw")),"Second Rd 2")</f>
        <v>Second Rd 2</v>
      </c>
      <c r="AP62" s="41"/>
      <c r="CH62" s="16">
        <f>CA62</f>
        <v>0</v>
      </c>
      <c r="CI62" s="16" t="e">
        <f>VLOOKUP($CH62,$AS60:$BA63,2,FALSE)</f>
        <v>#N/A</v>
      </c>
      <c r="CJ62" s="16" t="e">
        <f>VLOOKUP($CH62,$AS60:$BA63,3,FALSE)</f>
        <v>#N/A</v>
      </c>
      <c r="CK62" s="16" t="e">
        <f>VLOOKUP($CH62,$AS60:$BA63,4,FALSE)</f>
        <v>#N/A</v>
      </c>
      <c r="CL62" s="16" t="e">
        <f>VLOOKUP($CH62,$AS60:$BA63,5,FALSE)</f>
        <v>#N/A</v>
      </c>
      <c r="CM62" s="16" t="e">
        <f>VLOOKUP($CH62,$AS60:$BA63,6,FALSE)</f>
        <v>#N/A</v>
      </c>
      <c r="CN62" s="16" t="e">
        <f>VLOOKUP($CH62,$AS60:$BA63,7,FALSE)</f>
        <v>#N/A</v>
      </c>
      <c r="CO62" s="16" t="e">
        <f>VLOOKUP($CH62,$AS60:$BA63,8,FALSE)</f>
        <v>#N/A</v>
      </c>
      <c r="CP62" s="16" t="e">
        <f>VLOOKUP($CH62,$AS60:$BA63,9,FALSE)</f>
        <v>#N/A</v>
      </c>
      <c r="CR62" s="21" t="e">
        <f>#REF!</f>
        <v>#REF!</v>
      </c>
    </row>
    <row r="63" spans="2:96" ht="13.5" thickBot="1" x14ac:dyDescent="0.25">
      <c r="AI63" s="240" t="e">
        <f>IF(#REF!=3,#REF!,"Winner F")</f>
        <v>#REF!</v>
      </c>
      <c r="AJ63" s="240"/>
      <c r="AK63" s="236"/>
      <c r="AL63" s="82" t="e">
        <f>IF(G6=3,C6,"Runner-Up A")</f>
        <v>#REF!</v>
      </c>
      <c r="AN63" s="41"/>
      <c r="AO63" s="41" t="str">
        <f>IF(AJ63&lt;&gt;"",IF(AJ63&gt;AK63,AI63,IF(AK63&gt;AJ63,AL63,"Draw")),"Second Rd 3")</f>
        <v>Second Rd 3</v>
      </c>
      <c r="AP63" s="41"/>
      <c r="CH63" s="16">
        <f>CA63</f>
        <v>0</v>
      </c>
      <c r="CI63" s="16" t="e">
        <f>VLOOKUP($CH63,$AS60:$BA63,2,FALSE)</f>
        <v>#N/A</v>
      </c>
      <c r="CJ63" s="16" t="e">
        <f>VLOOKUP($CH63,$AS60:$BA63,3,FALSE)</f>
        <v>#N/A</v>
      </c>
      <c r="CK63" s="16" t="e">
        <f>VLOOKUP($CH63,$AS60:$BA63,4,FALSE)</f>
        <v>#N/A</v>
      </c>
      <c r="CL63" s="16" t="e">
        <f>VLOOKUP($CH63,$AS60:$BA63,5,FALSE)</f>
        <v>#N/A</v>
      </c>
      <c r="CM63" s="16" t="e">
        <f>VLOOKUP($CH63,$AS60:$BA63,6,FALSE)</f>
        <v>#N/A</v>
      </c>
      <c r="CN63" s="16" t="e">
        <f>VLOOKUP($CH63,$AS60:$BA63,7,FALSE)</f>
        <v>#N/A</v>
      </c>
      <c r="CO63" s="16" t="e">
        <f>VLOOKUP($CH63,$AS60:$BA63,8,FALSE)</f>
        <v>#N/A</v>
      </c>
      <c r="CP63" s="16" t="e">
        <f>VLOOKUP($CH63,$AS60:$BA63,9,FALSE)</f>
        <v>#N/A</v>
      </c>
      <c r="CR63" s="21" t="e">
        <f>#REF!</f>
        <v>#REF!</v>
      </c>
    </row>
    <row r="64" spans="2:96" ht="13.5" thickBot="1" x14ac:dyDescent="0.25">
      <c r="AI64" s="240" t="e">
        <f>IF(X5=3,T5,"Winner B")</f>
        <v>#REF!</v>
      </c>
      <c r="AJ64" s="240"/>
      <c r="AK64" s="236"/>
      <c r="AL64" s="82" t="e">
        <f>IF(#REF!=3,#REF!,"Runner-Up E")</f>
        <v>#REF!</v>
      </c>
      <c r="AN64" s="41"/>
      <c r="AO64" s="41" t="str">
        <f>IF(AJ64&lt;&gt;"",IF(AJ64&gt;AK64,AI64,IF(AK64&gt;AJ64,AL64,"Draw")),"Second Rd 4")</f>
        <v>Second Rd 4</v>
      </c>
      <c r="AP64" s="41"/>
      <c r="CR64" s="21" t="e">
        <f>#REF!</f>
        <v>#REF!</v>
      </c>
    </row>
    <row r="65" spans="35:96" x14ac:dyDescent="0.2">
      <c r="CR65" s="21" t="e">
        <f>#REF!</f>
        <v>#REF!</v>
      </c>
    </row>
    <row r="66" spans="35:96" x14ac:dyDescent="0.2">
      <c r="CR66" s="21" t="e">
        <f>#REF!</f>
        <v>#REF!</v>
      </c>
    </row>
    <row r="67" spans="35:96" ht="13.5" thickBot="1" x14ac:dyDescent="0.25">
      <c r="CH67" s="16">
        <f>CA67</f>
        <v>0</v>
      </c>
      <c r="CI67" s="16" t="e">
        <f>VLOOKUP($CH67,$AS67:$BA70,2,FALSE)</f>
        <v>#N/A</v>
      </c>
      <c r="CJ67" s="16" t="e">
        <f>VLOOKUP($CH67,$AS67:$BA70,3,FALSE)</f>
        <v>#N/A</v>
      </c>
      <c r="CK67" s="16" t="e">
        <f>VLOOKUP($CH67,$AS67:$BA70,4,FALSE)</f>
        <v>#N/A</v>
      </c>
      <c r="CL67" s="16" t="e">
        <f>VLOOKUP($CH67,$AS67:$BA70,5,FALSE)</f>
        <v>#N/A</v>
      </c>
      <c r="CM67" s="16" t="e">
        <f>VLOOKUP($CH67,$AS67:$BA70,6,FALSE)</f>
        <v>#N/A</v>
      </c>
      <c r="CN67" s="16" t="e">
        <f>VLOOKUP($CH67,$AS67:$BA70,7,FALSE)</f>
        <v>#N/A</v>
      </c>
      <c r="CO67" s="16" t="e">
        <f>VLOOKUP($CH67,$AS67:$BA70,8,FALSE)</f>
        <v>#N/A</v>
      </c>
      <c r="CP67" s="16" t="e">
        <f>VLOOKUP($CH67,$AS67:$BA70,9,FALSE)</f>
        <v>#N/A</v>
      </c>
      <c r="CR67" s="21" t="e">
        <f>#REF!</f>
        <v>#REF!</v>
      </c>
    </row>
    <row r="68" spans="35:96" ht="13.5" thickBot="1" x14ac:dyDescent="0.25">
      <c r="AI68" s="181" t="s">
        <v>210</v>
      </c>
      <c r="AJ68" s="70">
        <v>1</v>
      </c>
      <c r="AK68" s="232">
        <f>K19</f>
        <v>0</v>
      </c>
      <c r="AL68" s="58" t="s">
        <v>211</v>
      </c>
      <c r="CH68" s="16">
        <f>CA68</f>
        <v>0</v>
      </c>
      <c r="CI68" s="16" t="e">
        <f>VLOOKUP($CH68,$AS67:$BA70,2,FALSE)</f>
        <v>#N/A</v>
      </c>
      <c r="CJ68" s="16" t="e">
        <f>VLOOKUP($CH68,$AS67:$BA70,3,FALSE)</f>
        <v>#N/A</v>
      </c>
      <c r="CK68" s="16" t="e">
        <f>VLOOKUP($CH68,$AS67:$BA70,4,FALSE)</f>
        <v>#N/A</v>
      </c>
      <c r="CL68" s="16" t="e">
        <f>VLOOKUP($CH68,$AS67:$BA70,5,FALSE)</f>
        <v>#N/A</v>
      </c>
      <c r="CM68" s="16" t="e">
        <f>VLOOKUP($CH68,$AS67:$BA70,6,FALSE)</f>
        <v>#N/A</v>
      </c>
      <c r="CN68" s="16" t="e">
        <f>VLOOKUP($CH68,$AS67:$BA70,7,FALSE)</f>
        <v>#N/A</v>
      </c>
      <c r="CO68" s="16" t="e">
        <f>VLOOKUP($CH68,$AS67:$BA70,8,FALSE)</f>
        <v>#N/A</v>
      </c>
      <c r="CP68" s="16" t="e">
        <f>VLOOKUP($CH68,$AS67:$BA70,9,FALSE)</f>
        <v>#N/A</v>
      </c>
      <c r="CR68" s="21" t="e">
        <f>#REF!</f>
        <v>#REF!</v>
      </c>
    </row>
    <row r="69" spans="35:96" ht="13.5" thickBot="1" x14ac:dyDescent="0.25">
      <c r="AI69" s="181" t="s">
        <v>212</v>
      </c>
      <c r="AJ69" s="70">
        <v>1</v>
      </c>
      <c r="AK69" s="232">
        <f>K20</f>
        <v>0</v>
      </c>
      <c r="AL69" s="58" t="s">
        <v>213</v>
      </c>
      <c r="CH69" s="16">
        <f>CA69</f>
        <v>0</v>
      </c>
      <c r="CI69" s="16" t="e">
        <f>VLOOKUP($CH69,$AS67:$BA70,2,FALSE)</f>
        <v>#N/A</v>
      </c>
      <c r="CJ69" s="16" t="e">
        <f>VLOOKUP($CH69,$AS67:$BA70,3,FALSE)</f>
        <v>#N/A</v>
      </c>
      <c r="CK69" s="16" t="e">
        <f>VLOOKUP($CH69,$AS67:$BA70,4,FALSE)</f>
        <v>#N/A</v>
      </c>
      <c r="CL69" s="16" t="e">
        <f>VLOOKUP($CH69,$AS67:$BA70,5,FALSE)</f>
        <v>#N/A</v>
      </c>
      <c r="CM69" s="16" t="e">
        <f>VLOOKUP($CH69,$AS67:$BA70,6,FALSE)</f>
        <v>#N/A</v>
      </c>
      <c r="CN69" s="16" t="e">
        <f>VLOOKUP($CH69,$AS67:$BA70,7,FALSE)</f>
        <v>#N/A</v>
      </c>
      <c r="CO69" s="16" t="e">
        <f>VLOOKUP($CH69,$AS67:$BA70,8,FALSE)</f>
        <v>#N/A</v>
      </c>
      <c r="CP69" s="16" t="e">
        <f>VLOOKUP($CH69,$AS67:$BA70,9,FALSE)</f>
        <v>#N/A</v>
      </c>
      <c r="CR69" s="21" t="e">
        <f>#REF!</f>
        <v>#REF!</v>
      </c>
    </row>
    <row r="70" spans="35:96" ht="13.5" thickBot="1" x14ac:dyDescent="0.25">
      <c r="AI70" s="181" t="s">
        <v>210</v>
      </c>
      <c r="AJ70" s="70">
        <v>1</v>
      </c>
      <c r="AK70" s="232">
        <f>AB19</f>
        <v>0</v>
      </c>
      <c r="AL70" s="58" t="s">
        <v>212</v>
      </c>
      <c r="CH70" s="16">
        <f>CA70</f>
        <v>0</v>
      </c>
      <c r="CI70" s="16" t="e">
        <f>VLOOKUP($CH70,$AS67:$BA70,2,FALSE)</f>
        <v>#N/A</v>
      </c>
      <c r="CJ70" s="16" t="e">
        <f>VLOOKUP($CH70,$AS67:$BA70,3,FALSE)</f>
        <v>#N/A</v>
      </c>
      <c r="CK70" s="16" t="e">
        <f>VLOOKUP($CH70,$AS67:$BA70,4,FALSE)</f>
        <v>#N/A</v>
      </c>
      <c r="CL70" s="16" t="e">
        <f>VLOOKUP($CH70,$AS67:$BA70,5,FALSE)</f>
        <v>#N/A</v>
      </c>
      <c r="CM70" s="16" t="e">
        <f>VLOOKUP($CH70,$AS67:$BA70,6,FALSE)</f>
        <v>#N/A</v>
      </c>
      <c r="CN70" s="16" t="e">
        <f>VLOOKUP($CH70,$AS67:$BA70,7,FALSE)</f>
        <v>#N/A</v>
      </c>
      <c r="CO70" s="16" t="e">
        <f>VLOOKUP($CH70,$AS67:$BA70,8,FALSE)</f>
        <v>#N/A</v>
      </c>
      <c r="CP70" s="16" t="e">
        <f>VLOOKUP($CH70,$AS67:$BA70,9,FALSE)</f>
        <v>#N/A</v>
      </c>
      <c r="CR70" s="21"/>
    </row>
    <row r="71" spans="35:96" ht="13.5" thickBot="1" x14ac:dyDescent="0.25">
      <c r="AI71" s="181" t="s">
        <v>211</v>
      </c>
      <c r="AJ71" s="70">
        <v>1</v>
      </c>
      <c r="AK71" s="232">
        <f>AB20</f>
        <v>0</v>
      </c>
      <c r="AL71" s="58" t="s">
        <v>213</v>
      </c>
      <c r="CR71" s="21"/>
    </row>
    <row r="72" spans="35:96" ht="13.5" thickBot="1" x14ac:dyDescent="0.25">
      <c r="AI72" s="181" t="s">
        <v>211</v>
      </c>
      <c r="AJ72" s="70">
        <v>1</v>
      </c>
      <c r="AK72" s="232" t="e">
        <f>#REF!</f>
        <v>#REF!</v>
      </c>
      <c r="AL72" s="58" t="s">
        <v>212</v>
      </c>
      <c r="CR72" s="21"/>
    </row>
    <row r="73" spans="35:96" ht="13.5" thickBot="1" x14ac:dyDescent="0.25">
      <c r="AI73" s="181" t="s">
        <v>213</v>
      </c>
      <c r="AJ73" s="70">
        <v>1</v>
      </c>
      <c r="AK73" s="232" t="e">
        <f>#REF!</f>
        <v>#REF!</v>
      </c>
      <c r="AL73" s="58" t="s">
        <v>210</v>
      </c>
      <c r="CR73" s="21"/>
    </row>
    <row r="74" spans="35:96" ht="13.5" thickBot="1" x14ac:dyDescent="0.25">
      <c r="AJ74" s="70">
        <v>1</v>
      </c>
      <c r="AK74" s="232">
        <f>K25</f>
        <v>0</v>
      </c>
      <c r="CH74" s="16">
        <f>CA74</f>
        <v>0</v>
      </c>
      <c r="CI74" s="16" t="e">
        <f>VLOOKUP($CH74,$AS74:$BA77,2,FALSE)</f>
        <v>#N/A</v>
      </c>
      <c r="CJ74" s="16" t="e">
        <f>VLOOKUP($CH74,$AS74:$BA77,3,FALSE)</f>
        <v>#N/A</v>
      </c>
      <c r="CK74" s="16" t="e">
        <f>VLOOKUP($CH74,$AS74:$BA77,4,FALSE)</f>
        <v>#N/A</v>
      </c>
      <c r="CL74" s="16" t="e">
        <f>VLOOKUP($CH74,$AS74:$BA77,5,FALSE)</f>
        <v>#N/A</v>
      </c>
      <c r="CM74" s="16" t="e">
        <f>VLOOKUP($CH74,$AS74:$BA77,6,FALSE)</f>
        <v>#N/A</v>
      </c>
      <c r="CN74" s="16" t="e">
        <f>VLOOKUP($CH74,$AS74:$BA77,7,FALSE)</f>
        <v>#N/A</v>
      </c>
      <c r="CO74" s="16" t="e">
        <f>VLOOKUP($CH74,$AS74:$BA77,8,FALSE)</f>
        <v>#N/A</v>
      </c>
      <c r="CP74" s="16" t="e">
        <f>VLOOKUP($CH74,$AS74:$BA77,9,FALSE)</f>
        <v>#N/A</v>
      </c>
      <c r="CR74" s="21"/>
    </row>
    <row r="75" spans="35:96" ht="13.5" thickBot="1" x14ac:dyDescent="0.25">
      <c r="AJ75" s="70">
        <v>1</v>
      </c>
      <c r="AK75" s="232">
        <f>K26</f>
        <v>0</v>
      </c>
      <c r="CH75" s="16">
        <f>CA75</f>
        <v>0</v>
      </c>
      <c r="CI75" s="16" t="e">
        <f>VLOOKUP($CH75,$AS74:$BA77,2,FALSE)</f>
        <v>#N/A</v>
      </c>
      <c r="CJ75" s="16" t="e">
        <f>VLOOKUP($CH75,$AS74:$BA77,3,FALSE)</f>
        <v>#N/A</v>
      </c>
      <c r="CK75" s="16" t="e">
        <f>VLOOKUP($CH75,$AS74:$BA77,4,FALSE)</f>
        <v>#N/A</v>
      </c>
      <c r="CL75" s="16" t="e">
        <f>VLOOKUP($CH75,$AS74:$BA77,5,FALSE)</f>
        <v>#N/A</v>
      </c>
      <c r="CM75" s="16" t="e">
        <f>VLOOKUP($CH75,$AS74:$BA77,6,FALSE)</f>
        <v>#N/A</v>
      </c>
      <c r="CN75" s="16" t="e">
        <f>VLOOKUP($CH75,$AS74:$BA77,7,FALSE)</f>
        <v>#N/A</v>
      </c>
      <c r="CO75" s="16" t="e">
        <f>VLOOKUP($CH75,$AS74:$BA77,8,FALSE)</f>
        <v>#N/A</v>
      </c>
      <c r="CP75" s="16" t="e">
        <f>VLOOKUP($CH75,$AS74:$BA77,9,FALSE)</f>
        <v>#N/A</v>
      </c>
      <c r="CR75" s="21" t="e">
        <f>#REF!</f>
        <v>#REF!</v>
      </c>
    </row>
    <row r="76" spans="35:96" ht="13.5" thickBot="1" x14ac:dyDescent="0.25">
      <c r="AJ76" s="70">
        <v>1</v>
      </c>
      <c r="AK76" s="232">
        <f>AB25</f>
        <v>0</v>
      </c>
      <c r="CH76" s="16">
        <f>CA76</f>
        <v>0</v>
      </c>
      <c r="CI76" s="16" t="e">
        <f>VLOOKUP($CH76,$AS74:$BA77,2,FALSE)</f>
        <v>#N/A</v>
      </c>
      <c r="CJ76" s="16" t="e">
        <f>VLOOKUP($CH76,$AS74:$BA77,3,FALSE)</f>
        <v>#N/A</v>
      </c>
      <c r="CK76" s="16" t="e">
        <f>VLOOKUP($CH76,$AS74:$BA77,4,FALSE)</f>
        <v>#N/A</v>
      </c>
      <c r="CL76" s="16" t="e">
        <f>VLOOKUP($CH76,$AS74:$BA77,5,FALSE)</f>
        <v>#N/A</v>
      </c>
      <c r="CM76" s="16" t="e">
        <f>VLOOKUP($CH76,$AS74:$BA77,6,FALSE)</f>
        <v>#N/A</v>
      </c>
      <c r="CN76" s="16" t="e">
        <f>VLOOKUP($CH76,$AS74:$BA77,7,FALSE)</f>
        <v>#N/A</v>
      </c>
      <c r="CO76" s="16" t="e">
        <f>VLOOKUP($CH76,$AS74:$BA77,8,FALSE)</f>
        <v>#N/A</v>
      </c>
      <c r="CP76" s="16" t="e">
        <f>VLOOKUP($CH76,$AS74:$BA77,9,FALSE)</f>
        <v>#N/A</v>
      </c>
      <c r="CR76" s="21" t="e">
        <f>#REF!</f>
        <v>#REF!</v>
      </c>
    </row>
    <row r="77" spans="35:96" ht="13.5" thickBot="1" x14ac:dyDescent="0.25">
      <c r="AJ77" s="70">
        <v>1</v>
      </c>
      <c r="AK77" s="232">
        <f>AB26</f>
        <v>0</v>
      </c>
      <c r="CH77" s="16">
        <f>CA77</f>
        <v>0</v>
      </c>
      <c r="CI77" s="16" t="e">
        <f>VLOOKUP($CH77,$AS74:$BA77,2,FALSE)</f>
        <v>#N/A</v>
      </c>
      <c r="CJ77" s="16" t="e">
        <f>VLOOKUP($CH77,$AS74:$BA77,3,FALSE)</f>
        <v>#N/A</v>
      </c>
      <c r="CK77" s="16" t="e">
        <f>VLOOKUP($CH77,$AS74:$BA77,4,FALSE)</f>
        <v>#N/A</v>
      </c>
      <c r="CL77" s="16" t="e">
        <f>VLOOKUP($CH77,$AS74:$BA77,5,FALSE)</f>
        <v>#N/A</v>
      </c>
      <c r="CM77" s="16" t="e">
        <f>VLOOKUP($CH77,$AS74:$BA77,6,FALSE)</f>
        <v>#N/A</v>
      </c>
      <c r="CN77" s="16" t="e">
        <f>VLOOKUP($CH77,$AS74:$BA77,7,FALSE)</f>
        <v>#N/A</v>
      </c>
      <c r="CO77" s="16" t="e">
        <f>VLOOKUP($CH77,$AS74:$BA77,8,FALSE)</f>
        <v>#N/A</v>
      </c>
      <c r="CP77" s="16" t="e">
        <f>VLOOKUP($CH77,$AS74:$BA77,9,FALSE)</f>
        <v>#N/A</v>
      </c>
      <c r="CR77" s="21" t="e">
        <f>#REF!</f>
        <v>#REF!</v>
      </c>
    </row>
    <row r="78" spans="35:96" ht="13.5" thickBot="1" x14ac:dyDescent="0.25">
      <c r="AJ78" s="70">
        <v>1</v>
      </c>
      <c r="AK78" s="232" t="e">
        <f>#REF!</f>
        <v>#REF!</v>
      </c>
      <c r="CR78" s="21" t="e">
        <f>#REF!</f>
        <v>#REF!</v>
      </c>
    </row>
    <row r="79" spans="35:96" ht="13.5" thickBot="1" x14ac:dyDescent="0.25">
      <c r="AJ79" s="70">
        <v>1</v>
      </c>
      <c r="AK79" s="232" t="e">
        <f>#REF!</f>
        <v>#REF!</v>
      </c>
      <c r="CR79" s="21"/>
    </row>
    <row r="80" spans="35:96" x14ac:dyDescent="0.2">
      <c r="CR80" s="21"/>
    </row>
    <row r="81" spans="96:96" x14ac:dyDescent="0.2">
      <c r="CR81" s="21"/>
    </row>
    <row r="82" spans="96:96" x14ac:dyDescent="0.2">
      <c r="CR82" s="21"/>
    </row>
    <row r="83" spans="96:96" x14ac:dyDescent="0.2">
      <c r="CR83" s="21"/>
    </row>
    <row r="84" spans="96:96" x14ac:dyDescent="0.2">
      <c r="CR84" s="21"/>
    </row>
    <row r="85" spans="96:96" x14ac:dyDescent="0.2">
      <c r="CR85" s="21"/>
    </row>
    <row r="86" spans="96:96" x14ac:dyDescent="0.2">
      <c r="CR86" s="21"/>
    </row>
    <row r="87" spans="96:96" x14ac:dyDescent="0.2">
      <c r="CR87" s="21"/>
    </row>
    <row r="88" spans="96:96" x14ac:dyDescent="0.2">
      <c r="CR88" s="21"/>
    </row>
    <row r="89" spans="96:96" x14ac:dyDescent="0.2">
      <c r="CR89" s="21"/>
    </row>
    <row r="90" spans="96:96" x14ac:dyDescent="0.2">
      <c r="CR90" s="21"/>
    </row>
    <row r="91" spans="96:96" x14ac:dyDescent="0.2">
      <c r="CR91" s="21"/>
    </row>
    <row r="92" spans="96:96" x14ac:dyDescent="0.2">
      <c r="CR92" s="21"/>
    </row>
    <row r="93" spans="96:96" x14ac:dyDescent="0.2">
      <c r="CR93" s="21"/>
    </row>
    <row r="94" spans="96:96" x14ac:dyDescent="0.2">
      <c r="CR94" s="21"/>
    </row>
    <row r="95" spans="96:96" x14ac:dyDescent="0.2">
      <c r="CR95" s="21"/>
    </row>
    <row r="96" spans="96:96" x14ac:dyDescent="0.2">
      <c r="CR96" s="21"/>
    </row>
    <row r="97" spans="96:96" x14ac:dyDescent="0.2">
      <c r="CR97" s="21"/>
    </row>
    <row r="98" spans="96:96" x14ac:dyDescent="0.2">
      <c r="CR98" s="21"/>
    </row>
    <row r="99" spans="96:96" x14ac:dyDescent="0.2">
      <c r="CR99" s="21"/>
    </row>
    <row r="100" spans="96:96" x14ac:dyDescent="0.2">
      <c r="CR100" s="21"/>
    </row>
    <row r="101" spans="96:96" x14ac:dyDescent="0.2">
      <c r="CR101" s="21"/>
    </row>
    <row r="102" spans="96:96" x14ac:dyDescent="0.2">
      <c r="CR102" s="21"/>
    </row>
    <row r="103" spans="96:96" x14ac:dyDescent="0.2">
      <c r="CR103" s="21"/>
    </row>
    <row r="104" spans="96:96" x14ac:dyDescent="0.2">
      <c r="CR104" s="21"/>
    </row>
    <row r="105" spans="96:96" x14ac:dyDescent="0.2">
      <c r="CR105" s="21"/>
    </row>
    <row r="106" spans="96:96" x14ac:dyDescent="0.2">
      <c r="CR106" s="21"/>
    </row>
    <row r="107" spans="96:96" x14ac:dyDescent="0.2">
      <c r="CR107" s="21"/>
    </row>
    <row r="108" spans="96:96" x14ac:dyDescent="0.2">
      <c r="CR108" s="21"/>
    </row>
    <row r="109" spans="96:96" x14ac:dyDescent="0.2">
      <c r="CR109" s="21"/>
    </row>
    <row r="110" spans="96:96" x14ac:dyDescent="0.2">
      <c r="CR110" s="21"/>
    </row>
    <row r="111" spans="96:96" x14ac:dyDescent="0.2">
      <c r="CR111" s="21"/>
    </row>
    <row r="112" spans="96:96" x14ac:dyDescent="0.2">
      <c r="CR112" s="21"/>
    </row>
    <row r="113" spans="96:96" x14ac:dyDescent="0.2">
      <c r="CR113" s="21"/>
    </row>
    <row r="114" spans="96:96" x14ac:dyDescent="0.2">
      <c r="CR114" s="21"/>
    </row>
    <row r="115" spans="96:96" x14ac:dyDescent="0.2">
      <c r="CR115" s="21"/>
    </row>
    <row r="116" spans="96:96" x14ac:dyDescent="0.2">
      <c r="CR116" s="21"/>
    </row>
    <row r="117" spans="96:96" x14ac:dyDescent="0.2">
      <c r="CR117" s="21"/>
    </row>
    <row r="118" spans="96:96" x14ac:dyDescent="0.2">
      <c r="CR118" s="21"/>
    </row>
    <row r="119" spans="96:96" x14ac:dyDescent="0.2">
      <c r="CR119" s="21"/>
    </row>
    <row r="120" spans="96:96" x14ac:dyDescent="0.2">
      <c r="CR120" s="21"/>
    </row>
    <row r="121" spans="96:96" x14ac:dyDescent="0.2">
      <c r="CR121" s="21"/>
    </row>
    <row r="122" spans="96:96" x14ac:dyDescent="0.2">
      <c r="CR122" s="21"/>
    </row>
    <row r="123" spans="96:96" x14ac:dyDescent="0.2">
      <c r="CR123" s="21"/>
    </row>
    <row r="124" spans="96:96" x14ac:dyDescent="0.2">
      <c r="CR124" s="18"/>
    </row>
    <row r="125" spans="96:96" x14ac:dyDescent="0.2">
      <c r="CR125" s="18"/>
    </row>
    <row r="126" spans="96:96" x14ac:dyDescent="0.2">
      <c r="CR126" s="18"/>
    </row>
    <row r="127" spans="96:96" x14ac:dyDescent="0.2">
      <c r="CR127" s="18"/>
    </row>
    <row r="128" spans="96:96" x14ac:dyDescent="0.2">
      <c r="CR128" s="18"/>
    </row>
    <row r="129" spans="96:96" x14ac:dyDescent="0.2">
      <c r="CR129" s="18"/>
    </row>
    <row r="130" spans="96:96" x14ac:dyDescent="0.2">
      <c r="CR130" s="18"/>
    </row>
    <row r="131" spans="96:96" x14ac:dyDescent="0.2">
      <c r="CR131" s="18"/>
    </row>
    <row r="132" spans="96:96" x14ac:dyDescent="0.2">
      <c r="CR132" s="18"/>
    </row>
    <row r="133" spans="96:96" x14ac:dyDescent="0.2">
      <c r="CR133" s="18"/>
    </row>
    <row r="134" spans="96:96" x14ac:dyDescent="0.2">
      <c r="CR134" s="18"/>
    </row>
    <row r="135" spans="96:96" x14ac:dyDescent="0.2">
      <c r="CR135" s="18"/>
    </row>
    <row r="136" spans="96:96" x14ac:dyDescent="0.2">
      <c r="CR136" s="18"/>
    </row>
    <row r="137" spans="96:96" x14ac:dyDescent="0.2">
      <c r="CR137" s="18"/>
    </row>
    <row r="138" spans="96:96" x14ac:dyDescent="0.2">
      <c r="CR138" s="18"/>
    </row>
    <row r="139" spans="96:96" x14ac:dyDescent="0.2">
      <c r="CR139" s="18"/>
    </row>
    <row r="140" spans="96:96" x14ac:dyDescent="0.2">
      <c r="CR140" s="18"/>
    </row>
    <row r="141" spans="96:96" x14ac:dyDescent="0.2">
      <c r="CR141" s="18"/>
    </row>
    <row r="142" spans="96:96" x14ac:dyDescent="0.2">
      <c r="CR142" s="18"/>
    </row>
    <row r="143" spans="96:96" x14ac:dyDescent="0.2">
      <c r="CR143" s="18"/>
    </row>
    <row r="144" spans="96:96" x14ac:dyDescent="0.2">
      <c r="CR144" s="18"/>
    </row>
    <row r="145" spans="96:96" x14ac:dyDescent="0.2">
      <c r="CR145" s="18"/>
    </row>
    <row r="146" spans="96:96" x14ac:dyDescent="0.2">
      <c r="CR146" s="18"/>
    </row>
    <row r="147" spans="96:96" x14ac:dyDescent="0.2">
      <c r="CR147" s="18"/>
    </row>
    <row r="148" spans="96:96" x14ac:dyDescent="0.2">
      <c r="CR148" s="18"/>
    </row>
    <row r="149" spans="96:96" x14ac:dyDescent="0.2">
      <c r="CR149" s="18"/>
    </row>
    <row r="150" spans="96:96" x14ac:dyDescent="0.2">
      <c r="CR150" s="18"/>
    </row>
    <row r="151" spans="96:96" x14ac:dyDescent="0.2">
      <c r="CR151" s="18"/>
    </row>
    <row r="152" spans="96:96" x14ac:dyDescent="0.2">
      <c r="CR152" s="18"/>
    </row>
    <row r="153" spans="96:96" x14ac:dyDescent="0.2">
      <c r="CR153" s="18"/>
    </row>
    <row r="154" spans="96:96" x14ac:dyDescent="0.2">
      <c r="CR154" s="18"/>
    </row>
    <row r="155" spans="96:96" x14ac:dyDescent="0.2">
      <c r="CR155" s="18"/>
    </row>
    <row r="156" spans="96:96" x14ac:dyDescent="0.2">
      <c r="CR156" s="18"/>
    </row>
    <row r="157" spans="96:96" x14ac:dyDescent="0.2">
      <c r="CR157" s="18"/>
    </row>
    <row r="158" spans="96:96" x14ac:dyDescent="0.2">
      <c r="CR158" s="18"/>
    </row>
    <row r="159" spans="96:96" x14ac:dyDescent="0.2">
      <c r="CR159" s="18"/>
    </row>
    <row r="160" spans="96:96" x14ac:dyDescent="0.2">
      <c r="CR160" s="18"/>
    </row>
    <row r="161" spans="96:96" x14ac:dyDescent="0.2">
      <c r="CR161" s="18"/>
    </row>
    <row r="162" spans="96:96" x14ac:dyDescent="0.2">
      <c r="CR162" s="18"/>
    </row>
    <row r="163" spans="96:96" x14ac:dyDescent="0.2">
      <c r="CR163" s="18"/>
    </row>
    <row r="164" spans="96:96" x14ac:dyDescent="0.2">
      <c r="CR164" s="18"/>
    </row>
    <row r="165" spans="96:96" x14ac:dyDescent="0.2">
      <c r="CR165" s="18"/>
    </row>
    <row r="166" spans="96:96" x14ac:dyDescent="0.2">
      <c r="CR166" s="18"/>
    </row>
    <row r="167" spans="96:96" x14ac:dyDescent="0.2">
      <c r="CR167" s="18"/>
    </row>
    <row r="168" spans="96:96" x14ac:dyDescent="0.2">
      <c r="CR168" s="18"/>
    </row>
    <row r="169" spans="96:96" x14ac:dyDescent="0.2">
      <c r="CR169" s="18"/>
    </row>
    <row r="170" spans="96:96" x14ac:dyDescent="0.2">
      <c r="CR170" s="18"/>
    </row>
    <row r="171" spans="96:96" x14ac:dyDescent="0.2">
      <c r="CR171" s="18"/>
    </row>
    <row r="172" spans="96:96" x14ac:dyDescent="0.2">
      <c r="CR172" s="18"/>
    </row>
    <row r="173" spans="96:96" x14ac:dyDescent="0.2">
      <c r="CR173" s="18"/>
    </row>
    <row r="174" spans="96:96" x14ac:dyDescent="0.2">
      <c r="CR174" s="18"/>
    </row>
    <row r="175" spans="96:96" x14ac:dyDescent="0.2">
      <c r="CR175" s="18"/>
    </row>
    <row r="176" spans="96:96" x14ac:dyDescent="0.2">
      <c r="CR176" s="18"/>
    </row>
    <row r="177" spans="96:96" x14ac:dyDescent="0.2">
      <c r="CR177" s="18"/>
    </row>
    <row r="178" spans="96:96" x14ac:dyDescent="0.2">
      <c r="CR178" s="18"/>
    </row>
    <row r="179" spans="96:96" x14ac:dyDescent="0.2">
      <c r="CR179" s="18"/>
    </row>
    <row r="180" spans="96:96" x14ac:dyDescent="0.2">
      <c r="CR180" s="18"/>
    </row>
    <row r="181" spans="96:96" x14ac:dyDescent="0.2">
      <c r="CR181" s="18"/>
    </row>
    <row r="182" spans="96:96" x14ac:dyDescent="0.2">
      <c r="CR182" s="18"/>
    </row>
    <row r="183" spans="96:96" x14ac:dyDescent="0.2">
      <c r="CR183" s="18"/>
    </row>
    <row r="184" spans="96:96" x14ac:dyDescent="0.2">
      <c r="CR184" s="18"/>
    </row>
    <row r="185" spans="96:96" x14ac:dyDescent="0.2">
      <c r="CR185" s="18"/>
    </row>
    <row r="186" spans="96:96" x14ac:dyDescent="0.2">
      <c r="CR186" s="18"/>
    </row>
    <row r="187" spans="96:96" x14ac:dyDescent="0.2">
      <c r="CR187" s="18"/>
    </row>
    <row r="188" spans="96:96" x14ac:dyDescent="0.2">
      <c r="CR188" s="18"/>
    </row>
    <row r="189" spans="96:96" x14ac:dyDescent="0.2">
      <c r="CR189" s="18"/>
    </row>
    <row r="190" spans="96:96" x14ac:dyDescent="0.2">
      <c r="CR190" s="18"/>
    </row>
    <row r="191" spans="96:96" x14ac:dyDescent="0.2">
      <c r="CR191" s="18"/>
    </row>
    <row r="192" spans="96:96" x14ac:dyDescent="0.2">
      <c r="CR192" s="18"/>
    </row>
    <row r="193" spans="96:96" x14ac:dyDescent="0.2">
      <c r="CR193" s="18"/>
    </row>
    <row r="194" spans="96:96" x14ac:dyDescent="0.2">
      <c r="CR194" s="18"/>
    </row>
    <row r="195" spans="96:96" x14ac:dyDescent="0.2">
      <c r="CR195" s="18"/>
    </row>
    <row r="196" spans="96:96" x14ac:dyDescent="0.2">
      <c r="CR196" s="18"/>
    </row>
    <row r="197" spans="96:96" x14ac:dyDescent="0.2">
      <c r="CR197" s="18"/>
    </row>
    <row r="198" spans="96:96" x14ac:dyDescent="0.2">
      <c r="CR198" s="18"/>
    </row>
    <row r="199" spans="96:96" x14ac:dyDescent="0.2">
      <c r="CR199" s="18"/>
    </row>
    <row r="200" spans="96:96" x14ac:dyDescent="0.2">
      <c r="CR200" s="18"/>
    </row>
    <row r="201" spans="96:96" x14ac:dyDescent="0.2">
      <c r="CR201" s="18"/>
    </row>
    <row r="202" spans="96:96" x14ac:dyDescent="0.2">
      <c r="CR202" s="18"/>
    </row>
    <row r="203" spans="96:96" x14ac:dyDescent="0.2">
      <c r="CR203" s="18"/>
    </row>
    <row r="204" spans="96:96" x14ac:dyDescent="0.2">
      <c r="CR204" s="18"/>
    </row>
    <row r="205" spans="96:96" x14ac:dyDescent="0.2">
      <c r="CR205" s="18"/>
    </row>
    <row r="206" spans="96:96" x14ac:dyDescent="0.2">
      <c r="CR206" s="18"/>
    </row>
    <row r="207" spans="96:96" x14ac:dyDescent="0.2">
      <c r="CR207" s="18"/>
    </row>
    <row r="208" spans="96:96" x14ac:dyDescent="0.2">
      <c r="CR208" s="18"/>
    </row>
    <row r="209" spans="96:96" x14ac:dyDescent="0.2">
      <c r="CR209" s="18"/>
    </row>
    <row r="210" spans="96:96" x14ac:dyDescent="0.2">
      <c r="CR210" s="18"/>
    </row>
    <row r="211" spans="96:96" x14ac:dyDescent="0.2">
      <c r="CR211" s="18"/>
    </row>
    <row r="212" spans="96:96" x14ac:dyDescent="0.2">
      <c r="CR212" s="18"/>
    </row>
    <row r="213" spans="96:96" x14ac:dyDescent="0.2">
      <c r="CR213" s="18"/>
    </row>
    <row r="214" spans="96:96" x14ac:dyDescent="0.2">
      <c r="CR214" s="18"/>
    </row>
    <row r="215" spans="96:96" x14ac:dyDescent="0.2">
      <c r="CR215" s="18"/>
    </row>
    <row r="216" spans="96:96" x14ac:dyDescent="0.2">
      <c r="CR216" s="18"/>
    </row>
    <row r="217" spans="96:96" x14ac:dyDescent="0.2">
      <c r="CR217" s="18"/>
    </row>
    <row r="218" spans="96:96" x14ac:dyDescent="0.2">
      <c r="CR218" s="18"/>
    </row>
    <row r="219" spans="96:96" x14ac:dyDescent="0.2">
      <c r="CR219" s="18"/>
    </row>
    <row r="220" spans="96:96" x14ac:dyDescent="0.2">
      <c r="CR220" s="18"/>
    </row>
    <row r="221" spans="96:96" x14ac:dyDescent="0.2">
      <c r="CR221" s="18"/>
    </row>
    <row r="222" spans="96:96" x14ac:dyDescent="0.2">
      <c r="CR222" s="18"/>
    </row>
    <row r="223" spans="96:96" x14ac:dyDescent="0.2">
      <c r="CR223" s="18"/>
    </row>
    <row r="224" spans="96:96" x14ac:dyDescent="0.2">
      <c r="CR224" s="18"/>
    </row>
    <row r="225" spans="96:96" x14ac:dyDescent="0.2">
      <c r="CR225" s="18"/>
    </row>
    <row r="226" spans="96:96" x14ac:dyDescent="0.2">
      <c r="CR226" s="18"/>
    </row>
    <row r="227" spans="96:96" x14ac:dyDescent="0.2">
      <c r="CR227" s="18"/>
    </row>
    <row r="228" spans="96:96" x14ac:dyDescent="0.2">
      <c r="CR228" s="18"/>
    </row>
    <row r="229" spans="96:96" x14ac:dyDescent="0.2">
      <c r="CR229" s="18"/>
    </row>
    <row r="230" spans="96:96" x14ac:dyDescent="0.2">
      <c r="CR230" s="18"/>
    </row>
    <row r="231" spans="96:96" x14ac:dyDescent="0.2">
      <c r="CR231" s="18"/>
    </row>
    <row r="232" spans="96:96" x14ac:dyDescent="0.2">
      <c r="CR232" s="18"/>
    </row>
    <row r="233" spans="96:96" x14ac:dyDescent="0.2">
      <c r="CR233" s="18"/>
    </row>
    <row r="234" spans="96:96" x14ac:dyDescent="0.2">
      <c r="CR234" s="18"/>
    </row>
    <row r="235" spans="96:96" x14ac:dyDescent="0.2">
      <c r="CR235" s="18"/>
    </row>
    <row r="236" spans="96:96" x14ac:dyDescent="0.2">
      <c r="CR236" s="18"/>
    </row>
    <row r="237" spans="96:96" x14ac:dyDescent="0.2">
      <c r="CR237" s="18"/>
    </row>
    <row r="238" spans="96:96" x14ac:dyDescent="0.2">
      <c r="CR238" s="18"/>
    </row>
    <row r="239" spans="96:96" x14ac:dyDescent="0.2">
      <c r="CR239" s="18"/>
    </row>
    <row r="240" spans="96:96" x14ac:dyDescent="0.2">
      <c r="CR240" s="18"/>
    </row>
    <row r="241" spans="96:96" x14ac:dyDescent="0.2">
      <c r="CR241" s="18"/>
    </row>
    <row r="242" spans="96:96" x14ac:dyDescent="0.2">
      <c r="CR242" s="18"/>
    </row>
    <row r="243" spans="96:96" x14ac:dyDescent="0.2">
      <c r="CR243" s="18"/>
    </row>
    <row r="244" spans="96:96" x14ac:dyDescent="0.2">
      <c r="CR244" s="18"/>
    </row>
    <row r="245" spans="96:96" x14ac:dyDescent="0.2">
      <c r="CR245" s="18"/>
    </row>
    <row r="246" spans="96:96" x14ac:dyDescent="0.2">
      <c r="CR246" s="18"/>
    </row>
    <row r="247" spans="96:96" x14ac:dyDescent="0.2">
      <c r="CR247" s="18"/>
    </row>
    <row r="248" spans="96:96" x14ac:dyDescent="0.2">
      <c r="CR248" s="18"/>
    </row>
    <row r="249" spans="96:96" x14ac:dyDescent="0.2">
      <c r="CR249" s="18"/>
    </row>
    <row r="250" spans="96:96" x14ac:dyDescent="0.2">
      <c r="CR250" s="18"/>
    </row>
    <row r="251" spans="96:96" x14ac:dyDescent="0.2">
      <c r="CR251" s="18"/>
    </row>
    <row r="252" spans="96:96" x14ac:dyDescent="0.2">
      <c r="CR252" s="18"/>
    </row>
    <row r="253" spans="96:96" x14ac:dyDescent="0.2">
      <c r="CR253" s="18"/>
    </row>
    <row r="254" spans="96:96" x14ac:dyDescent="0.2">
      <c r="CR254" s="18"/>
    </row>
    <row r="255" spans="96:96" x14ac:dyDescent="0.2">
      <c r="CR255" s="18"/>
    </row>
    <row r="256" spans="96:96" x14ac:dyDescent="0.2">
      <c r="CR256" s="18"/>
    </row>
    <row r="257" spans="96:96" x14ac:dyDescent="0.2">
      <c r="CR257" s="18"/>
    </row>
    <row r="258" spans="96:96" x14ac:dyDescent="0.2">
      <c r="CR258" s="18"/>
    </row>
    <row r="259" spans="96:96" x14ac:dyDescent="0.2">
      <c r="CR259" s="18"/>
    </row>
    <row r="260" spans="96:96" x14ac:dyDescent="0.2">
      <c r="CR260" s="18"/>
    </row>
    <row r="261" spans="96:96" x14ac:dyDescent="0.2">
      <c r="CR261" s="18"/>
    </row>
    <row r="262" spans="96:96" x14ac:dyDescent="0.2">
      <c r="CR262" s="18"/>
    </row>
    <row r="263" spans="96:96" x14ac:dyDescent="0.2">
      <c r="CR263" s="18"/>
    </row>
    <row r="264" spans="96:96" x14ac:dyDescent="0.2">
      <c r="CR264" s="18"/>
    </row>
    <row r="265" spans="96:96" x14ac:dyDescent="0.2">
      <c r="CR265" s="18"/>
    </row>
    <row r="266" spans="96:96" x14ac:dyDescent="0.2">
      <c r="CR266" s="18"/>
    </row>
    <row r="267" spans="96:96" x14ac:dyDescent="0.2">
      <c r="CR267" s="18"/>
    </row>
    <row r="268" spans="96:96" x14ac:dyDescent="0.2">
      <c r="CR268" s="18"/>
    </row>
    <row r="269" spans="96:96" x14ac:dyDescent="0.2">
      <c r="CR269" s="18"/>
    </row>
    <row r="270" spans="96:96" x14ac:dyDescent="0.2">
      <c r="CR270" s="18"/>
    </row>
    <row r="271" spans="96:96" x14ac:dyDescent="0.2">
      <c r="CR271" s="18"/>
    </row>
    <row r="272" spans="96:96" x14ac:dyDescent="0.2">
      <c r="CR272" s="18"/>
    </row>
    <row r="273" spans="96:96" x14ac:dyDescent="0.2">
      <c r="CR273" s="18"/>
    </row>
    <row r="274" spans="96:96" x14ac:dyDescent="0.2">
      <c r="CR274" s="18"/>
    </row>
    <row r="275" spans="96:96" x14ac:dyDescent="0.2">
      <c r="CR275" s="18"/>
    </row>
    <row r="276" spans="96:96" x14ac:dyDescent="0.2">
      <c r="CR276" s="18"/>
    </row>
    <row r="277" spans="96:96" x14ac:dyDescent="0.2">
      <c r="CR277" s="18"/>
    </row>
    <row r="278" spans="96:96" x14ac:dyDescent="0.2">
      <c r="CR278" s="18"/>
    </row>
    <row r="279" spans="96:96" x14ac:dyDescent="0.2">
      <c r="CR279" s="18"/>
    </row>
    <row r="280" spans="96:96" x14ac:dyDescent="0.2">
      <c r="CR280" s="18"/>
    </row>
    <row r="281" spans="96:96" x14ac:dyDescent="0.2">
      <c r="CR281" s="18"/>
    </row>
    <row r="282" spans="96:96" x14ac:dyDescent="0.2">
      <c r="CR282" s="18"/>
    </row>
    <row r="283" spans="96:96" x14ac:dyDescent="0.2">
      <c r="CR283" s="18"/>
    </row>
    <row r="284" spans="96:96" x14ac:dyDescent="0.2">
      <c r="CR284" s="18"/>
    </row>
    <row r="285" spans="96:96" x14ac:dyDescent="0.2">
      <c r="CR285" s="18"/>
    </row>
    <row r="286" spans="96:96" x14ac:dyDescent="0.2">
      <c r="CR286" s="18"/>
    </row>
    <row r="287" spans="96:96" x14ac:dyDescent="0.2">
      <c r="CR287" s="18"/>
    </row>
    <row r="288" spans="96:96" x14ac:dyDescent="0.2">
      <c r="CR288" s="18"/>
    </row>
    <row r="289" spans="96:96" x14ac:dyDescent="0.2">
      <c r="CR289" s="18"/>
    </row>
    <row r="290" spans="96:96" x14ac:dyDescent="0.2">
      <c r="CR290" s="18"/>
    </row>
    <row r="291" spans="96:96" x14ac:dyDescent="0.2">
      <c r="CR291" s="18"/>
    </row>
    <row r="292" spans="96:96" x14ac:dyDescent="0.2">
      <c r="CR292" s="18"/>
    </row>
    <row r="293" spans="96:96" x14ac:dyDescent="0.2">
      <c r="CR293" s="18"/>
    </row>
    <row r="294" spans="96:96" x14ac:dyDescent="0.2">
      <c r="CR294" s="18"/>
    </row>
    <row r="295" spans="96:96" x14ac:dyDescent="0.2">
      <c r="CR295" s="18"/>
    </row>
    <row r="296" spans="96:96" x14ac:dyDescent="0.2">
      <c r="CR296" s="18"/>
    </row>
    <row r="297" spans="96:96" x14ac:dyDescent="0.2">
      <c r="CR297" s="18"/>
    </row>
    <row r="298" spans="96:96" x14ac:dyDescent="0.2">
      <c r="CR298" s="18"/>
    </row>
    <row r="299" spans="96:96" x14ac:dyDescent="0.2">
      <c r="CR299" s="18"/>
    </row>
    <row r="300" spans="96:96" x14ac:dyDescent="0.2">
      <c r="CR300" s="18"/>
    </row>
    <row r="301" spans="96:96" x14ac:dyDescent="0.2">
      <c r="CR301" s="18"/>
    </row>
    <row r="302" spans="96:96" x14ac:dyDescent="0.2">
      <c r="CR302" s="18"/>
    </row>
    <row r="303" spans="96:96" x14ac:dyDescent="0.2">
      <c r="CR303" s="18"/>
    </row>
    <row r="304" spans="96:96" x14ac:dyDescent="0.2">
      <c r="CR304" s="18"/>
    </row>
    <row r="305" spans="96:96" x14ac:dyDescent="0.2">
      <c r="CR305" s="18"/>
    </row>
    <row r="306" spans="96:96" x14ac:dyDescent="0.2">
      <c r="CR306" s="18"/>
    </row>
    <row r="307" spans="96:96" x14ac:dyDescent="0.2">
      <c r="CR307" s="18"/>
    </row>
    <row r="308" spans="96:96" x14ac:dyDescent="0.2">
      <c r="CR308" s="18"/>
    </row>
    <row r="309" spans="96:96" x14ac:dyDescent="0.2">
      <c r="CR309" s="18"/>
    </row>
    <row r="310" spans="96:96" x14ac:dyDescent="0.2">
      <c r="CR310" s="18"/>
    </row>
    <row r="311" spans="96:96" x14ac:dyDescent="0.2">
      <c r="CR311" s="18"/>
    </row>
    <row r="312" spans="96:96" x14ac:dyDescent="0.2">
      <c r="CR312" s="18"/>
    </row>
    <row r="313" spans="96:96" x14ac:dyDescent="0.2">
      <c r="CR313" s="18"/>
    </row>
    <row r="314" spans="96:96" x14ac:dyDescent="0.2">
      <c r="CR314" s="18"/>
    </row>
    <row r="315" spans="96:96" x14ac:dyDescent="0.2">
      <c r="CR315" s="18"/>
    </row>
    <row r="316" spans="96:96" x14ac:dyDescent="0.2">
      <c r="CR316" s="18"/>
    </row>
    <row r="317" spans="96:96" x14ac:dyDescent="0.2">
      <c r="CR317" s="18"/>
    </row>
    <row r="318" spans="96:96" x14ac:dyDescent="0.2">
      <c r="CR318" s="18"/>
    </row>
    <row r="319" spans="96:96" x14ac:dyDescent="0.2">
      <c r="CR319" s="18"/>
    </row>
    <row r="320" spans="96:96" x14ac:dyDescent="0.2">
      <c r="CR320" s="18"/>
    </row>
    <row r="321" spans="96:96" x14ac:dyDescent="0.2">
      <c r="CR321" s="18"/>
    </row>
    <row r="322" spans="96:96" x14ac:dyDescent="0.2">
      <c r="CR322" s="18"/>
    </row>
    <row r="323" spans="96:96" x14ac:dyDescent="0.2">
      <c r="CR323" s="18"/>
    </row>
    <row r="324" spans="96:96" x14ac:dyDescent="0.2">
      <c r="CR324" s="18"/>
    </row>
    <row r="325" spans="96:96" x14ac:dyDescent="0.2">
      <c r="CR325" s="18"/>
    </row>
    <row r="326" spans="96:96" x14ac:dyDescent="0.2">
      <c r="CR326" s="18"/>
    </row>
    <row r="327" spans="96:96" x14ac:dyDescent="0.2">
      <c r="CR327" s="18"/>
    </row>
    <row r="328" spans="96:96" x14ac:dyDescent="0.2">
      <c r="CR328" s="18"/>
    </row>
    <row r="329" spans="96:96" x14ac:dyDescent="0.2">
      <c r="CR329" s="18"/>
    </row>
    <row r="330" spans="96:96" x14ac:dyDescent="0.2">
      <c r="CR330" s="18"/>
    </row>
    <row r="331" spans="96:96" x14ac:dyDescent="0.2">
      <c r="CR331" s="18"/>
    </row>
    <row r="332" spans="96:96" x14ac:dyDescent="0.2">
      <c r="CR332" s="18"/>
    </row>
    <row r="333" spans="96:96" x14ac:dyDescent="0.2">
      <c r="CR333" s="18"/>
    </row>
    <row r="334" spans="96:96" x14ac:dyDescent="0.2">
      <c r="CR334" s="18"/>
    </row>
    <row r="335" spans="96:96" x14ac:dyDescent="0.2">
      <c r="CR335" s="18"/>
    </row>
    <row r="336" spans="96:96" x14ac:dyDescent="0.2">
      <c r="CR336" s="18"/>
    </row>
    <row r="337" spans="96:96" x14ac:dyDescent="0.2">
      <c r="CR337" s="18"/>
    </row>
    <row r="338" spans="96:96" x14ac:dyDescent="0.2">
      <c r="CR338" s="18"/>
    </row>
    <row r="339" spans="96:96" x14ac:dyDescent="0.2">
      <c r="CR339" s="18"/>
    </row>
    <row r="340" spans="96:96" x14ac:dyDescent="0.2">
      <c r="CR340" s="18"/>
    </row>
    <row r="341" spans="96:96" x14ac:dyDescent="0.2">
      <c r="CR341" s="18"/>
    </row>
    <row r="342" spans="96:96" x14ac:dyDescent="0.2">
      <c r="CR342" s="18"/>
    </row>
    <row r="343" spans="96:96" x14ac:dyDescent="0.2">
      <c r="CR343" s="18"/>
    </row>
    <row r="344" spans="96:96" x14ac:dyDescent="0.2">
      <c r="CR344" s="18"/>
    </row>
    <row r="345" spans="96:96" x14ac:dyDescent="0.2">
      <c r="CR345" s="18"/>
    </row>
    <row r="346" spans="96:96" x14ac:dyDescent="0.2">
      <c r="CR346" s="18"/>
    </row>
    <row r="347" spans="96:96" x14ac:dyDescent="0.2">
      <c r="CR347" s="18"/>
    </row>
    <row r="348" spans="96:96" x14ac:dyDescent="0.2">
      <c r="CR348" s="18"/>
    </row>
    <row r="349" spans="96:96" x14ac:dyDescent="0.2">
      <c r="CR349" s="18"/>
    </row>
    <row r="350" spans="96:96" x14ac:dyDescent="0.2">
      <c r="CR350" s="18"/>
    </row>
    <row r="351" spans="96:96" x14ac:dyDescent="0.2">
      <c r="CR351" s="18"/>
    </row>
    <row r="352" spans="96:96" x14ac:dyDescent="0.2">
      <c r="CR352" s="18"/>
    </row>
    <row r="353" spans="96:96" x14ac:dyDescent="0.2">
      <c r="CR353" s="18"/>
    </row>
    <row r="354" spans="96:96" x14ac:dyDescent="0.2">
      <c r="CR354" s="18"/>
    </row>
    <row r="355" spans="96:96" x14ac:dyDescent="0.2">
      <c r="CR355" s="18"/>
    </row>
    <row r="356" spans="96:96" x14ac:dyDescent="0.2">
      <c r="CR356" s="18"/>
    </row>
    <row r="357" spans="96:96" x14ac:dyDescent="0.2">
      <c r="CR357" s="18"/>
    </row>
    <row r="358" spans="96:96" x14ac:dyDescent="0.2">
      <c r="CR358" s="18"/>
    </row>
    <row r="359" spans="96:96" x14ac:dyDescent="0.2">
      <c r="CR359" s="18"/>
    </row>
    <row r="360" spans="96:96" x14ac:dyDescent="0.2">
      <c r="CR360" s="18"/>
    </row>
    <row r="361" spans="96:96" x14ac:dyDescent="0.2">
      <c r="CR361" s="18"/>
    </row>
    <row r="362" spans="96:96" x14ac:dyDescent="0.2">
      <c r="CR362" s="18"/>
    </row>
    <row r="363" spans="96:96" x14ac:dyDescent="0.2">
      <c r="CR363" s="18"/>
    </row>
    <row r="364" spans="96:96" x14ac:dyDescent="0.2">
      <c r="CR364" s="18"/>
    </row>
    <row r="365" spans="96:96" x14ac:dyDescent="0.2">
      <c r="CR365" s="18"/>
    </row>
    <row r="366" spans="96:96" x14ac:dyDescent="0.2">
      <c r="CR366" s="18"/>
    </row>
    <row r="367" spans="96:96" x14ac:dyDescent="0.2">
      <c r="CR367" s="18"/>
    </row>
    <row r="368" spans="96:96" x14ac:dyDescent="0.2">
      <c r="CR368" s="18"/>
    </row>
    <row r="369" spans="96:96" x14ac:dyDescent="0.2">
      <c r="CR369" s="18"/>
    </row>
    <row r="370" spans="96:96" x14ac:dyDescent="0.2">
      <c r="CR370" s="18"/>
    </row>
    <row r="371" spans="96:96" x14ac:dyDescent="0.2">
      <c r="CR371" s="18"/>
    </row>
    <row r="372" spans="96:96" x14ac:dyDescent="0.2">
      <c r="CR372" s="18"/>
    </row>
    <row r="373" spans="96:96" x14ac:dyDescent="0.2">
      <c r="CR373" s="18"/>
    </row>
    <row r="374" spans="96:96" x14ac:dyDescent="0.2">
      <c r="CR374" s="18"/>
    </row>
    <row r="375" spans="96:96" x14ac:dyDescent="0.2">
      <c r="CR375" s="18"/>
    </row>
    <row r="376" spans="96:96" x14ac:dyDescent="0.2">
      <c r="CR376" s="18"/>
    </row>
    <row r="377" spans="96:96" x14ac:dyDescent="0.2">
      <c r="CR377" s="18"/>
    </row>
    <row r="378" spans="96:96" x14ac:dyDescent="0.2">
      <c r="CR378" s="18"/>
    </row>
    <row r="65250" spans="96:96" x14ac:dyDescent="0.2">
      <c r="CR65250" s="22" t="e">
        <f>#REF!</f>
        <v>#REF!</v>
      </c>
    </row>
    <row r="65251" spans="96:96" x14ac:dyDescent="0.2">
      <c r="CR65251" s="22" t="e">
        <f>#REF!</f>
        <v>#REF!</v>
      </c>
    </row>
    <row r="65252" spans="96:96" x14ac:dyDescent="0.2">
      <c r="CR65252" s="22" t="e">
        <f>#REF!</f>
        <v>#REF!</v>
      </c>
    </row>
    <row r="65253" spans="96:96" x14ac:dyDescent="0.2">
      <c r="CR65253" s="22" t="e">
        <f>#REF!</f>
        <v>#REF!</v>
      </c>
    </row>
    <row r="65254" spans="96:96" x14ac:dyDescent="0.2">
      <c r="CR65254" s="22" t="e">
        <f>#REF!</f>
        <v>#REF!</v>
      </c>
    </row>
  </sheetData>
  <sheetProtection password="CBEB" objects="1"/>
  <mergeCells count="63">
    <mergeCell ref="W13:Y13"/>
    <mergeCell ref="AC13:AG13"/>
    <mergeCell ref="W16:Y16"/>
    <mergeCell ref="AC16:AG16"/>
    <mergeCell ref="A15:B15"/>
    <mergeCell ref="F15:H15"/>
    <mergeCell ref="L15:P15"/>
    <mergeCell ref="R15:S15"/>
    <mergeCell ref="W15:Y15"/>
    <mergeCell ref="AC15:AG15"/>
    <mergeCell ref="A16:B16"/>
    <mergeCell ref="F16:H16"/>
    <mergeCell ref="L16:P16"/>
    <mergeCell ref="R16:S16"/>
    <mergeCell ref="L12:P12"/>
    <mergeCell ref="AC14:AG14"/>
    <mergeCell ref="A14:B14"/>
    <mergeCell ref="W12:Y12"/>
    <mergeCell ref="AC12:AG12"/>
    <mergeCell ref="A13:B13"/>
    <mergeCell ref="F13:H13"/>
    <mergeCell ref="A12:B12"/>
    <mergeCell ref="F12:H12"/>
    <mergeCell ref="R12:S12"/>
    <mergeCell ref="F14:H14"/>
    <mergeCell ref="L14:P14"/>
    <mergeCell ref="R14:S14"/>
    <mergeCell ref="L13:P13"/>
    <mergeCell ref="R13:S13"/>
    <mergeCell ref="W14:Y14"/>
    <mergeCell ref="I10:K10"/>
    <mergeCell ref="L10:P10"/>
    <mergeCell ref="Z10:AB10"/>
    <mergeCell ref="AC10:AG10"/>
    <mergeCell ref="A11:B11"/>
    <mergeCell ref="F11:H11"/>
    <mergeCell ref="R11:S11"/>
    <mergeCell ref="W11:Y11"/>
    <mergeCell ref="AC11:AG11"/>
    <mergeCell ref="L11:P11"/>
    <mergeCell ref="A7:B7"/>
    <mergeCell ref="J7:K7"/>
    <mergeCell ref="R7:S7"/>
    <mergeCell ref="AA7:AB7"/>
    <mergeCell ref="A8:B8"/>
    <mergeCell ref="J8:K8"/>
    <mergeCell ref="R8:S8"/>
    <mergeCell ref="AA8:AB8"/>
    <mergeCell ref="A5:B5"/>
    <mergeCell ref="J5:K5"/>
    <mergeCell ref="R5:S5"/>
    <mergeCell ref="AA5:AB5"/>
    <mergeCell ref="A6:B6"/>
    <mergeCell ref="J6:K6"/>
    <mergeCell ref="R6:S6"/>
    <mergeCell ref="AA6:AB6"/>
    <mergeCell ref="A1:AG1"/>
    <mergeCell ref="A3:P3"/>
    <mergeCell ref="R3:AG3"/>
    <mergeCell ref="J4:K4"/>
    <mergeCell ref="L4:N4"/>
    <mergeCell ref="AA4:AB4"/>
    <mergeCell ref="AC4:AE4"/>
  </mergeCells>
  <pageMargins left="0.47" right="0.19685039370078741" top="0.2" bottom="0.19685039370078741" header="0.2" footer="0"/>
  <pageSetup paperSize="9" orientation="landscape" horizont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="145" zoomScaleNormal="145" workbookViewId="0">
      <selection activeCell="A11" sqref="A11:B11"/>
    </sheetView>
  </sheetViews>
  <sheetFormatPr defaultRowHeight="12.75" x14ac:dyDescent="0.2"/>
  <cols>
    <col min="1" max="1" width="18.85546875" style="258" bestFit="1" customWidth="1"/>
    <col min="2" max="6" width="4.140625" customWidth="1"/>
    <col min="7" max="7" width="4.140625" style="298" customWidth="1"/>
    <col min="8" max="8" width="2.28515625" customWidth="1"/>
    <col min="9" max="9" width="4.140625" style="258" customWidth="1"/>
    <col min="10" max="11" width="4.140625" customWidth="1"/>
  </cols>
  <sheetData>
    <row r="1" spans="1:12" ht="23.25" customHeight="1" x14ac:dyDescent="0.25">
      <c r="A1" s="538" t="s">
        <v>214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</row>
    <row r="2" spans="1:12" s="304" customFormat="1" ht="12.75" customHeight="1" thickBot="1" x14ac:dyDescent="0.3">
      <c r="A2" s="344"/>
      <c r="B2" s="344"/>
      <c r="C2" s="344"/>
      <c r="D2" s="344"/>
      <c r="E2" s="344"/>
      <c r="F2" s="344"/>
      <c r="G2" s="344"/>
      <c r="H2" s="344"/>
      <c r="I2" s="344"/>
      <c r="J2" s="344"/>
      <c r="K2" s="344"/>
    </row>
    <row r="3" spans="1:12" ht="16.5" customHeight="1" thickBot="1" x14ac:dyDescent="0.3">
      <c r="A3" s="344"/>
      <c r="B3" s="307" t="s">
        <v>109</v>
      </c>
      <c r="C3" s="343" t="s">
        <v>110</v>
      </c>
      <c r="D3" s="343" t="s">
        <v>111</v>
      </c>
      <c r="E3" s="545" t="s">
        <v>112</v>
      </c>
      <c r="F3" s="545"/>
      <c r="G3" s="545" t="s">
        <v>113</v>
      </c>
      <c r="H3" s="545"/>
      <c r="I3" s="545"/>
      <c r="J3" s="343" t="str">
        <f>T("+/-")</f>
        <v>+/-</v>
      </c>
      <c r="K3" s="308" t="s">
        <v>114</v>
      </c>
      <c r="L3" s="309" t="s">
        <v>215</v>
      </c>
    </row>
    <row r="4" spans="1:12" ht="24.75" customHeight="1" x14ac:dyDescent="0.2">
      <c r="A4" s="302" t="str">
        <f>IF('POULES (A-H)'!G7=3,'POULES (A-H)'!C7,"Nr. 3 Poule A")</f>
        <v>Nr. 3 Poule A</v>
      </c>
      <c r="B4" s="300">
        <f>'POULES (A-H)'!G7</f>
        <v>2</v>
      </c>
      <c r="C4" s="300">
        <f>'POULES (A-H)'!H7</f>
        <v>1</v>
      </c>
      <c r="D4" s="300">
        <f>'POULES (A-H)'!I7</f>
        <v>0</v>
      </c>
      <c r="E4" s="300">
        <f>'POULES (A-H)'!J7</f>
        <v>1</v>
      </c>
      <c r="F4" s="300">
        <f>'POULES (A-H)'!K7</f>
        <v>0</v>
      </c>
      <c r="G4" s="301">
        <f>'POULES (A-H)'!L7</f>
        <v>3</v>
      </c>
      <c r="H4" s="300" t="str">
        <f>'POULES (A-H)'!M7</f>
        <v>-</v>
      </c>
      <c r="I4" s="299">
        <f>'POULES (A-H)'!N7</f>
        <v>1</v>
      </c>
      <c r="J4" s="300">
        <f>'POULES (A-H)'!O7</f>
        <v>2</v>
      </c>
      <c r="K4" s="133">
        <f>'POULES (A-H)'!P7</f>
        <v>3</v>
      </c>
      <c r="L4" s="310"/>
    </row>
    <row r="5" spans="1:12" ht="24.75" customHeight="1" x14ac:dyDescent="0.2">
      <c r="A5" s="302" t="str">
        <f>IF('POULES (A-H)'!X7=3,'POULES (A-H)'!T7,"Nr. 3 Poule B")</f>
        <v>De Flitsers 3</v>
      </c>
      <c r="B5" s="300">
        <f>'POULES (A-H)'!X7</f>
        <v>3</v>
      </c>
      <c r="C5" s="300">
        <f>'POULES (A-H)'!Y7</f>
        <v>1</v>
      </c>
      <c r="D5" s="300">
        <f>'POULES (A-H)'!Z7</f>
        <v>0</v>
      </c>
      <c r="E5" s="300">
        <f>'POULES (A-H)'!AA7</f>
        <v>2</v>
      </c>
      <c r="F5" s="300">
        <f>'POULES (A-H)'!AB7</f>
        <v>0</v>
      </c>
      <c r="G5" s="301">
        <f>'POULES (A-H)'!AC7</f>
        <v>2</v>
      </c>
      <c r="H5" s="300" t="str">
        <f>'POULES (A-H)'!AD7</f>
        <v>-</v>
      </c>
      <c r="I5" s="299">
        <f>'POULES (A-H)'!AE7</f>
        <v>3</v>
      </c>
      <c r="J5" s="300">
        <f>'POULES (A-H)'!AF7</f>
        <v>-1</v>
      </c>
      <c r="K5" s="133">
        <f>'POULES (A-H)'!AG7</f>
        <v>3</v>
      </c>
      <c r="L5" s="310"/>
    </row>
    <row r="6" spans="1:12" ht="24.75" customHeight="1" x14ac:dyDescent="0.2">
      <c r="A6" s="302" t="str">
        <f>IF('POULES (A-H)'!G22=3,'POULES (A-H)'!C22,"Nr. 3 Poule C")</f>
        <v>Nr. 3 Poule C</v>
      </c>
      <c r="B6" s="300">
        <f>'POULES (A-H)'!G22</f>
        <v>2</v>
      </c>
      <c r="C6" s="300">
        <f>'POULES (A-H)'!H22</f>
        <v>1</v>
      </c>
      <c r="D6" s="300">
        <f>'POULES (A-H)'!I22</f>
        <v>0</v>
      </c>
      <c r="E6" s="300">
        <f>'POULES (A-H)'!J22</f>
        <v>1</v>
      </c>
      <c r="F6" s="300">
        <f>'POULES (A-H)'!K22</f>
        <v>0</v>
      </c>
      <c r="G6" s="301">
        <f>'POULES (A-H)'!L22</f>
        <v>2</v>
      </c>
      <c r="H6" s="300" t="str">
        <f>'POULES (A-H)'!M22</f>
        <v>-</v>
      </c>
      <c r="I6" s="299">
        <f>'POULES (A-H)'!N22</f>
        <v>2</v>
      </c>
      <c r="J6" s="300">
        <f>'POULES (A-H)'!O22</f>
        <v>0</v>
      </c>
      <c r="K6" s="133">
        <f>'POULES (A-H)'!P22</f>
        <v>3</v>
      </c>
      <c r="L6" s="310"/>
    </row>
    <row r="7" spans="1:12" ht="24.75" customHeight="1" x14ac:dyDescent="0.2">
      <c r="A7" s="302" t="str">
        <f>IF('POULES (A-H)'!X22=3,'POULES (A-H)'!T22,"Nr. 3 Poule D")</f>
        <v>FC Papa</v>
      </c>
      <c r="B7" s="303">
        <f>'POULES (A-H)'!X22</f>
        <v>3</v>
      </c>
      <c r="C7" s="303">
        <f>'POULES (A-H)'!Y22</f>
        <v>2</v>
      </c>
      <c r="D7" s="303">
        <f>'POULES (A-H)'!Z22</f>
        <v>0</v>
      </c>
      <c r="E7" s="303">
        <f>'POULES (A-H)'!AA22</f>
        <v>1</v>
      </c>
      <c r="F7" s="303">
        <f>'POULES (A-H)'!AB22</f>
        <v>0</v>
      </c>
      <c r="G7" s="301">
        <f>'POULES (A-H)'!AC22</f>
        <v>4</v>
      </c>
      <c r="H7" s="303" t="str">
        <f>'POULES (A-H)'!AD22</f>
        <v>-</v>
      </c>
      <c r="I7" s="299">
        <f>'POULES (A-H)'!AE22</f>
        <v>4</v>
      </c>
      <c r="J7" s="303">
        <f>'POULES (A-H)'!AF22</f>
        <v>0</v>
      </c>
      <c r="K7" s="305">
        <f>'POULES (A-H)'!AG22</f>
        <v>6</v>
      </c>
      <c r="L7" s="310"/>
    </row>
    <row r="8" spans="1:12" ht="24.75" customHeight="1" x14ac:dyDescent="0.2">
      <c r="A8" s="302" t="str">
        <f>IF('POULES (A-H)'!G39=3,'POULES (A-H)'!C39,"Nr. 3 Poule E")</f>
        <v>MAN ON F.C</v>
      </c>
      <c r="B8" s="300">
        <f>'POULES (A-H)'!G39</f>
        <v>3</v>
      </c>
      <c r="C8" s="300">
        <f>'POULES (A-H)'!H39</f>
        <v>1</v>
      </c>
      <c r="D8" s="300">
        <f>'POULES (A-H)'!I39</f>
        <v>0</v>
      </c>
      <c r="E8" s="300">
        <f>'POULES (A-H)'!J39</f>
        <v>2</v>
      </c>
      <c r="F8" s="300">
        <f>'POULES (A-H)'!K39</f>
        <v>0</v>
      </c>
      <c r="G8" s="301">
        <f>'POULES (A-H)'!L39</f>
        <v>2</v>
      </c>
      <c r="H8" s="300" t="str">
        <f>'POULES (A-H)'!M39</f>
        <v>-</v>
      </c>
      <c r="I8" s="299">
        <f>'POULES (A-H)'!N39</f>
        <v>4</v>
      </c>
      <c r="J8" s="300">
        <f>'POULES (A-H)'!O39</f>
        <v>-2</v>
      </c>
      <c r="K8" s="133">
        <f>'POULES (A-H)'!P39</f>
        <v>3</v>
      </c>
      <c r="L8" s="310"/>
    </row>
    <row r="9" spans="1:12" ht="24.75" customHeight="1" x14ac:dyDescent="0.2">
      <c r="A9" s="302" t="str">
        <f>IF('POULES (A-H)'!X39=3,'POULES (A-H)'!T39,"Nr. 3 Poule F")</f>
        <v>Nr. 3 Poule F</v>
      </c>
      <c r="B9" s="300">
        <f>'POULES (A-H)'!X39</f>
        <v>2</v>
      </c>
      <c r="C9" s="300">
        <f>'POULES (A-H)'!Y39</f>
        <v>0</v>
      </c>
      <c r="D9" s="300">
        <f>'POULES (A-H)'!Z39</f>
        <v>2</v>
      </c>
      <c r="E9" s="300">
        <f>'POULES (A-H)'!AA39</f>
        <v>0</v>
      </c>
      <c r="F9" s="300">
        <f>'POULES (A-H)'!AB39</f>
        <v>0</v>
      </c>
      <c r="G9" s="301">
        <f>'POULES (A-H)'!AC39</f>
        <v>0</v>
      </c>
      <c r="H9" s="300" t="str">
        <f>'POULES (A-H)'!AD39</f>
        <v>-</v>
      </c>
      <c r="I9" s="299">
        <f>'POULES (A-H)'!AE39</f>
        <v>0</v>
      </c>
      <c r="J9" s="300">
        <f>'POULES (A-H)'!AF39</f>
        <v>0</v>
      </c>
      <c r="K9" s="133">
        <f>'POULES (A-H)'!AG39</f>
        <v>2</v>
      </c>
      <c r="L9" s="310"/>
    </row>
    <row r="10" spans="1:12" ht="24.75" customHeight="1" x14ac:dyDescent="0.2">
      <c r="A10" s="302" t="e">
        <f>IF('POULES (A-H)'!G54=3,'POULES (A-H)'!C54,"Nr. 3 Poule G")</f>
        <v>#REF!</v>
      </c>
      <c r="B10" s="300" t="e">
        <f>'POULES (A-H)'!G54</f>
        <v>#REF!</v>
      </c>
      <c r="C10" s="300" t="e">
        <f>'POULES (A-H)'!H54</f>
        <v>#REF!</v>
      </c>
      <c r="D10" s="300" t="e">
        <f>'POULES (A-H)'!I54</f>
        <v>#REF!</v>
      </c>
      <c r="E10" s="300" t="e">
        <f>'POULES (A-H)'!J54</f>
        <v>#REF!</v>
      </c>
      <c r="F10" s="300">
        <f>'POULES (A-H)'!K54</f>
        <v>0</v>
      </c>
      <c r="G10" s="301" t="e">
        <f>'POULES (A-H)'!L54</f>
        <v>#REF!</v>
      </c>
      <c r="H10" s="300" t="str">
        <f>'POULES (A-H)'!M54</f>
        <v>-</v>
      </c>
      <c r="I10" s="299" t="e">
        <f>'POULES (A-H)'!N54</f>
        <v>#REF!</v>
      </c>
      <c r="J10" s="300" t="e">
        <f>'POULES (A-H)'!O54</f>
        <v>#REF!</v>
      </c>
      <c r="K10" s="133" t="e">
        <f>'POULES (A-H)'!P54</f>
        <v>#REF!</v>
      </c>
      <c r="L10" s="310"/>
    </row>
    <row r="11" spans="1:12" ht="24.75" customHeight="1" x14ac:dyDescent="0.2">
      <c r="A11" s="302" t="str">
        <f>IF('POULES (A-H)'!X54=3,'POULES (A-H)'!T54,"Nr. 3 Poule H")</f>
        <v>Kampongveldert</v>
      </c>
      <c r="B11" s="303">
        <f>'POULES (A-H)'!X54</f>
        <v>3</v>
      </c>
      <c r="C11" s="303">
        <f>'POULES (A-H)'!Y54</f>
        <v>1</v>
      </c>
      <c r="D11" s="303">
        <f>'POULES (A-H)'!Z54</f>
        <v>0</v>
      </c>
      <c r="E11" s="303">
        <f>'POULES (A-H)'!AA54</f>
        <v>2</v>
      </c>
      <c r="F11" s="303">
        <f>'POULES (A-H)'!AB54</f>
        <v>0</v>
      </c>
      <c r="G11" s="301">
        <f>'POULES (A-H)'!AC54</f>
        <v>2</v>
      </c>
      <c r="H11" s="303" t="str">
        <f>'POULES (A-H)'!AD54</f>
        <v>-</v>
      </c>
      <c r="I11" s="299">
        <f>'POULES (A-H)'!AE54</f>
        <v>6</v>
      </c>
      <c r="J11" s="303">
        <f>'POULES (A-H)'!AF54</f>
        <v>-4</v>
      </c>
      <c r="K11" s="305">
        <f>'POULES (A-H)'!AG54</f>
        <v>3</v>
      </c>
      <c r="L11" s="310"/>
    </row>
    <row r="12" spans="1:12" ht="24.75" customHeight="1" x14ac:dyDescent="0.2">
      <c r="A12" s="302" t="e">
        <f>IF('POULES (I+J)'!G7=3,'POULES (I+J)'!C7,"Nr. 3 Poule I")</f>
        <v>#REF!</v>
      </c>
      <c r="B12" s="303" t="e">
        <f>'POULES (I+J)'!G7</f>
        <v>#REF!</v>
      </c>
      <c r="C12" s="303" t="e">
        <f>'POULES (I+J)'!H7</f>
        <v>#REF!</v>
      </c>
      <c r="D12" s="303" t="e">
        <f>'POULES (I+J)'!I7</f>
        <v>#REF!</v>
      </c>
      <c r="E12" s="303" t="e">
        <f>'POULES (I+J)'!J7</f>
        <v>#REF!</v>
      </c>
      <c r="F12" s="303">
        <f>'POULES (I+J)'!K7</f>
        <v>0</v>
      </c>
      <c r="G12" s="303" t="e">
        <f>'POULES (I+J)'!L7</f>
        <v>#REF!</v>
      </c>
      <c r="H12" s="303" t="str">
        <f>'POULES (I+J)'!M7</f>
        <v>-</v>
      </c>
      <c r="I12" s="299" t="e">
        <f>'POULES (I+J)'!N7</f>
        <v>#REF!</v>
      </c>
      <c r="J12" s="303" t="e">
        <f>'POULES (I+J)'!O7</f>
        <v>#REF!</v>
      </c>
      <c r="K12" s="305" t="e">
        <f>'POULES (I+J)'!P7</f>
        <v>#REF!</v>
      </c>
      <c r="L12" s="310"/>
    </row>
    <row r="13" spans="1:12" ht="24.75" customHeight="1" x14ac:dyDescent="0.2">
      <c r="A13" s="302" t="e">
        <f>IF('POULES (I+J)'!X7=3,'POULES (I+J)'!T7,"Nr. 3 Poule J")</f>
        <v>#REF!</v>
      </c>
      <c r="B13" s="303" t="e">
        <f>'POULES (I+J)'!X7</f>
        <v>#REF!</v>
      </c>
      <c r="C13" s="303" t="e">
        <f>'POULES (I+J)'!Y7</f>
        <v>#REF!</v>
      </c>
      <c r="D13" s="303" t="e">
        <f>'POULES (I+J)'!Z7</f>
        <v>#REF!</v>
      </c>
      <c r="E13" s="303" t="e">
        <f>'POULES (I+J)'!AA7</f>
        <v>#REF!</v>
      </c>
      <c r="F13" s="303">
        <f>'POULES (I+J)'!AB7</f>
        <v>0</v>
      </c>
      <c r="G13" s="303" t="e">
        <f>'POULES (I+J)'!AC7</f>
        <v>#REF!</v>
      </c>
      <c r="H13" s="303" t="str">
        <f>'POULES (I+J)'!AD7</f>
        <v>-</v>
      </c>
      <c r="I13" s="299" t="e">
        <f>'POULES (I+J)'!AE7</f>
        <v>#REF!</v>
      </c>
      <c r="J13" s="303" t="e">
        <f>'POULES (I+J)'!AF7</f>
        <v>#REF!</v>
      </c>
      <c r="K13" s="305" t="e">
        <f>'POULES (I+J)'!AG7</f>
        <v>#REF!</v>
      </c>
      <c r="L13" s="310"/>
    </row>
    <row r="14" spans="1:12" x14ac:dyDescent="0.2">
      <c r="A14" s="166"/>
      <c r="B14" s="333"/>
      <c r="C14" s="333"/>
      <c r="D14" s="333"/>
      <c r="E14" s="333"/>
    </row>
    <row r="15" spans="1:12" x14ac:dyDescent="0.2">
      <c r="A15" s="166"/>
      <c r="B15" s="333"/>
      <c r="C15" s="333"/>
      <c r="D15" s="333"/>
      <c r="E15" s="333"/>
    </row>
    <row r="16" spans="1:12" x14ac:dyDescent="0.2">
      <c r="A16" s="166"/>
      <c r="B16" s="333"/>
      <c r="C16" s="333"/>
      <c r="D16" s="333"/>
      <c r="E16" s="333"/>
    </row>
    <row r="17" spans="1:5" x14ac:dyDescent="0.2">
      <c r="A17" s="166"/>
      <c r="B17" s="333"/>
      <c r="C17" s="333"/>
      <c r="D17" s="333"/>
      <c r="E17" s="333"/>
    </row>
    <row r="18" spans="1:5" x14ac:dyDescent="0.2">
      <c r="A18" s="166"/>
      <c r="B18" s="333"/>
      <c r="C18" s="333"/>
      <c r="D18" s="333"/>
      <c r="E18" s="333"/>
    </row>
    <row r="19" spans="1:5" x14ac:dyDescent="0.2">
      <c r="A19" s="166"/>
      <c r="B19" s="333"/>
      <c r="C19" s="333"/>
      <c r="D19" s="333"/>
      <c r="E19" s="333"/>
    </row>
  </sheetData>
  <mergeCells count="3">
    <mergeCell ref="E3:F3"/>
    <mergeCell ref="G3:I3"/>
    <mergeCell ref="A1:L1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="145" zoomScaleNormal="145" workbookViewId="0">
      <selection activeCell="A11" sqref="A11:B11"/>
    </sheetView>
  </sheetViews>
  <sheetFormatPr defaultRowHeight="12.75" x14ac:dyDescent="0.2"/>
  <cols>
    <col min="1" max="1" width="18.85546875" style="258" bestFit="1" customWidth="1"/>
    <col min="2" max="6" width="4.140625" customWidth="1"/>
    <col min="7" max="7" width="4.140625" style="298" customWidth="1"/>
    <col min="8" max="8" width="2.28515625" customWidth="1"/>
    <col min="9" max="9" width="4.140625" style="258" customWidth="1"/>
    <col min="10" max="11" width="4.140625" customWidth="1"/>
  </cols>
  <sheetData>
    <row r="1" spans="1:12" ht="23.25" customHeight="1" x14ac:dyDescent="0.25">
      <c r="A1" s="538" t="s">
        <v>216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</row>
    <row r="2" spans="1:12" s="304" customFormat="1" ht="12.75" customHeight="1" thickBot="1" x14ac:dyDescent="0.3">
      <c r="A2" s="344"/>
      <c r="B2" s="344"/>
      <c r="C2" s="344"/>
      <c r="D2" s="344"/>
      <c r="E2" s="344"/>
      <c r="F2" s="344"/>
      <c r="G2" s="344"/>
      <c r="H2" s="344"/>
      <c r="I2" s="344"/>
      <c r="J2" s="344"/>
      <c r="K2" s="344"/>
    </row>
    <row r="3" spans="1:12" ht="16.5" customHeight="1" thickBot="1" x14ac:dyDescent="0.3">
      <c r="A3" s="344"/>
      <c r="B3" s="307" t="s">
        <v>109</v>
      </c>
      <c r="C3" s="343" t="s">
        <v>110</v>
      </c>
      <c r="D3" s="343" t="s">
        <v>111</v>
      </c>
      <c r="E3" s="545" t="s">
        <v>112</v>
      </c>
      <c r="F3" s="545"/>
      <c r="G3" s="545" t="s">
        <v>113</v>
      </c>
      <c r="H3" s="545"/>
      <c r="I3" s="545"/>
      <c r="J3" s="343" t="str">
        <f>T("+/-")</f>
        <v>+/-</v>
      </c>
      <c r="K3" s="308" t="s">
        <v>114</v>
      </c>
      <c r="L3" s="309" t="s">
        <v>215</v>
      </c>
    </row>
    <row r="4" spans="1:12" ht="24.75" customHeight="1" x14ac:dyDescent="0.2">
      <c r="A4" s="302" t="e">
        <f>IF('POULES (WINNAARS)'!G6=3,'POULES (WINNAARS)'!C6,"Nr. 2 Poule K")</f>
        <v>#REF!</v>
      </c>
      <c r="B4" s="300" t="e">
        <f>'POULES (WINNAARS)'!G6</f>
        <v>#REF!</v>
      </c>
      <c r="C4" s="300" t="e">
        <f>'POULES (WINNAARS)'!H6</f>
        <v>#REF!</v>
      </c>
      <c r="D4" s="300" t="e">
        <f>'POULES (WINNAARS)'!I6</f>
        <v>#REF!</v>
      </c>
      <c r="E4" s="300" t="e">
        <f>'POULES (WINNAARS)'!J6</f>
        <v>#REF!</v>
      </c>
      <c r="F4" s="300">
        <f>'POULES (WINNAARS)'!K6</f>
        <v>0</v>
      </c>
      <c r="G4" s="300" t="e">
        <f>'POULES (WINNAARS)'!L6</f>
        <v>#REF!</v>
      </c>
      <c r="H4" s="300" t="str">
        <f>'POULES (WINNAARS)'!M6</f>
        <v>-</v>
      </c>
      <c r="I4" s="299" t="e">
        <f>'POULES (WINNAARS)'!N6</f>
        <v>#REF!</v>
      </c>
      <c r="J4" s="300" t="e">
        <f>'POULES (WINNAARS)'!O6</f>
        <v>#REF!</v>
      </c>
      <c r="K4" s="300" t="e">
        <f>'POULES (WINNAARS)'!P6</f>
        <v>#REF!</v>
      </c>
      <c r="L4" s="310"/>
    </row>
    <row r="5" spans="1:12" ht="24.75" customHeight="1" x14ac:dyDescent="0.2">
      <c r="A5" s="302" t="e">
        <f>IF('POULES (WINNAARS)'!X6=3,'POULES (WINNAARS)'!T6,"Nr. 2 Poule L")</f>
        <v>#REF!</v>
      </c>
      <c r="B5" s="300" t="e">
        <f>'POULES (WINNAARS)'!X6</f>
        <v>#REF!</v>
      </c>
      <c r="C5" s="300" t="e">
        <f>'POULES (WINNAARS)'!Y6</f>
        <v>#REF!</v>
      </c>
      <c r="D5" s="300" t="e">
        <f>'POULES (WINNAARS)'!Z6</f>
        <v>#REF!</v>
      </c>
      <c r="E5" s="300" t="e">
        <f>'POULES (WINNAARS)'!AA6</f>
        <v>#REF!</v>
      </c>
      <c r="F5" s="300">
        <f>'POULES (WINNAARS)'!AB6</f>
        <v>0</v>
      </c>
      <c r="G5" s="300" t="e">
        <f>'POULES (WINNAARS)'!AC6</f>
        <v>#REF!</v>
      </c>
      <c r="H5" s="300" t="str">
        <f>'POULES (WINNAARS)'!AD6</f>
        <v>-</v>
      </c>
      <c r="I5" s="299" t="e">
        <f>'POULES (WINNAARS)'!AE6</f>
        <v>#REF!</v>
      </c>
      <c r="J5" s="300" t="e">
        <f>'POULES (WINNAARS)'!AF6</f>
        <v>#REF!</v>
      </c>
      <c r="K5" s="300" t="e">
        <f>'POULES (WINNAARS)'!AG6</f>
        <v>#REF!</v>
      </c>
      <c r="L5" s="310"/>
    </row>
    <row r="6" spans="1:12" ht="24.75" customHeight="1" x14ac:dyDescent="0.2">
      <c r="A6" s="302" t="e">
        <f>IF('POULES (WINNAARS)'!G21=3,'POULES (WINNAARS)'!C21,"Nr. 2 Poule M")</f>
        <v>#REF!</v>
      </c>
      <c r="B6" s="300" t="e">
        <f>'POULES (WINNAARS)'!G21</f>
        <v>#REF!</v>
      </c>
      <c r="C6" s="300" t="e">
        <f>'POULES (WINNAARS)'!H21</f>
        <v>#REF!</v>
      </c>
      <c r="D6" s="300" t="e">
        <f>'POULES (WINNAARS)'!I21</f>
        <v>#REF!</v>
      </c>
      <c r="E6" s="300" t="e">
        <f>'POULES (WINNAARS)'!J21</f>
        <v>#REF!</v>
      </c>
      <c r="F6" s="300">
        <f>'POULES (WINNAARS)'!K21</f>
        <v>0</v>
      </c>
      <c r="G6" s="300" t="e">
        <f>'POULES (WINNAARS)'!L21</f>
        <v>#REF!</v>
      </c>
      <c r="H6" s="300" t="str">
        <f>'POULES (WINNAARS)'!M21</f>
        <v>-</v>
      </c>
      <c r="I6" s="299" t="e">
        <f>'POULES (WINNAARS)'!N21</f>
        <v>#REF!</v>
      </c>
      <c r="J6" s="300" t="e">
        <f>'POULES (WINNAARS)'!O21</f>
        <v>#REF!</v>
      </c>
      <c r="K6" s="300" t="e">
        <f>'POULES (WINNAARS)'!P21</f>
        <v>#REF!</v>
      </c>
      <c r="L6" s="310"/>
    </row>
    <row r="7" spans="1:12" ht="24.75" customHeight="1" x14ac:dyDescent="0.2">
      <c r="A7" s="302" t="e">
        <f>IF('POULES (WINNAARS)'!X21=3,'POULES (WINNAARS)'!T21,"Nr. 2 Poule N")</f>
        <v>#REF!</v>
      </c>
      <c r="B7" s="303" t="e">
        <f>'POULES (WINNAARS)'!X21</f>
        <v>#REF!</v>
      </c>
      <c r="C7" s="303" t="e">
        <f>'POULES (WINNAARS)'!Y21</f>
        <v>#REF!</v>
      </c>
      <c r="D7" s="303" t="e">
        <f>'POULES (WINNAARS)'!Z21</f>
        <v>#REF!</v>
      </c>
      <c r="E7" s="303" t="e">
        <f>'POULES (WINNAARS)'!AA21</f>
        <v>#REF!</v>
      </c>
      <c r="F7" s="303">
        <f>'POULES (WINNAARS)'!AB21</f>
        <v>0</v>
      </c>
      <c r="G7" s="303" t="e">
        <f>'POULES (WINNAARS)'!AC21</f>
        <v>#REF!</v>
      </c>
      <c r="H7" s="303" t="str">
        <f>'POULES (WINNAARS)'!AD21</f>
        <v>-</v>
      </c>
      <c r="I7" s="299" t="e">
        <f>'POULES (WINNAARS)'!AE21</f>
        <v>#REF!</v>
      </c>
      <c r="J7" s="303" t="e">
        <f>'POULES (WINNAARS)'!AF21</f>
        <v>#REF!</v>
      </c>
      <c r="K7" s="303" t="e">
        <f>'POULES (WINNAARS)'!AG21</f>
        <v>#REF!</v>
      </c>
      <c r="L7" s="310"/>
    </row>
    <row r="8" spans="1:12" ht="24.75" customHeight="1" x14ac:dyDescent="0.2">
      <c r="A8" s="302" t="e">
        <f>IF('POULES (WINNAARS)'!G37=3,'POULES (WINNAARS)'!C37,"Nr. 2 Poule O")</f>
        <v>#REF!</v>
      </c>
      <c r="B8" s="300" t="e">
        <f>'POULES (WINNAARS)'!G37</f>
        <v>#REF!</v>
      </c>
      <c r="C8" s="300" t="e">
        <f>'POULES (WINNAARS)'!H37</f>
        <v>#REF!</v>
      </c>
      <c r="D8" s="300" t="e">
        <f>'POULES (WINNAARS)'!I37</f>
        <v>#REF!</v>
      </c>
      <c r="E8" s="300" t="e">
        <f>'POULES (WINNAARS)'!J37</f>
        <v>#REF!</v>
      </c>
      <c r="F8" s="300">
        <f>'POULES (WINNAARS)'!K37</f>
        <v>0</v>
      </c>
      <c r="G8" s="300" t="e">
        <f>'POULES (WINNAARS)'!L37</f>
        <v>#REF!</v>
      </c>
      <c r="H8" s="300" t="str">
        <f>'POULES (WINNAARS)'!M37</f>
        <v>-</v>
      </c>
      <c r="I8" s="299" t="e">
        <f>'POULES (WINNAARS)'!N37</f>
        <v>#REF!</v>
      </c>
      <c r="J8" s="300" t="e">
        <f>'POULES (WINNAARS)'!O37</f>
        <v>#REF!</v>
      </c>
      <c r="K8" s="300" t="e">
        <f>'POULES (WINNAARS)'!P37</f>
        <v>#REF!</v>
      </c>
      <c r="L8" s="310"/>
    </row>
    <row r="9" spans="1:12" ht="24.75" customHeight="1" x14ac:dyDescent="0.2">
      <c r="A9" s="302" t="e">
        <f>IF('POULES (WINNAARS)'!X37=3,'POULES (WINNAARS)'!T37,"Nr. 2 Poule P")</f>
        <v>#REF!</v>
      </c>
      <c r="B9" s="300" t="e">
        <f>'POULES (WINNAARS)'!X37</f>
        <v>#REF!</v>
      </c>
      <c r="C9" s="300" t="e">
        <f>'POULES (WINNAARS)'!Y37</f>
        <v>#REF!</v>
      </c>
      <c r="D9" s="300" t="e">
        <f>'POULES (WINNAARS)'!Z37</f>
        <v>#REF!</v>
      </c>
      <c r="E9" s="300" t="e">
        <f>'POULES (WINNAARS)'!AA37</f>
        <v>#REF!</v>
      </c>
      <c r="F9" s="300">
        <f>'POULES (WINNAARS)'!AB37</f>
        <v>0</v>
      </c>
      <c r="G9" s="300" t="e">
        <f>'POULES (WINNAARS)'!AC37</f>
        <v>#REF!</v>
      </c>
      <c r="H9" s="300" t="str">
        <f>'POULES (WINNAARS)'!AD37</f>
        <v>-</v>
      </c>
      <c r="I9" s="299" t="e">
        <f>'POULES (WINNAARS)'!AE37</f>
        <v>#REF!</v>
      </c>
      <c r="J9" s="300" t="e">
        <f>'POULES (WINNAARS)'!AF37</f>
        <v>#REF!</v>
      </c>
      <c r="K9" s="300" t="e">
        <f>'POULES (WINNAARS)'!AG37</f>
        <v>#REF!</v>
      </c>
      <c r="L9" s="310"/>
    </row>
    <row r="10" spans="1:12" x14ac:dyDescent="0.2">
      <c r="A10" s="166"/>
      <c r="B10" s="333"/>
      <c r="C10" s="333"/>
      <c r="D10" s="333"/>
      <c r="E10" s="333"/>
    </row>
    <row r="11" spans="1:12" x14ac:dyDescent="0.2">
      <c r="A11" s="166"/>
      <c r="B11" s="333"/>
      <c r="C11" s="333"/>
      <c r="D11" s="333"/>
      <c r="E11" s="333"/>
    </row>
    <row r="12" spans="1:12" x14ac:dyDescent="0.2">
      <c r="A12" s="166"/>
      <c r="B12" s="333"/>
      <c r="C12" s="333"/>
      <c r="D12" s="333"/>
      <c r="E12" s="333"/>
    </row>
    <row r="13" spans="1:12" x14ac:dyDescent="0.2">
      <c r="A13" s="166"/>
      <c r="B13" s="333"/>
      <c r="C13" s="333"/>
      <c r="D13" s="333"/>
      <c r="E13" s="333"/>
    </row>
    <row r="14" spans="1:12" x14ac:dyDescent="0.2">
      <c r="A14" s="166"/>
      <c r="B14" s="333"/>
      <c r="C14" s="333"/>
      <c r="D14" s="333"/>
      <c r="E14" s="333"/>
    </row>
    <row r="15" spans="1:12" x14ac:dyDescent="0.2">
      <c r="A15" s="166"/>
      <c r="B15" s="333"/>
      <c r="C15" s="333"/>
      <c r="D15" s="333"/>
      <c r="E15" s="333"/>
    </row>
  </sheetData>
  <mergeCells count="3">
    <mergeCell ref="A1:L1"/>
    <mergeCell ref="E3:F3"/>
    <mergeCell ref="G3:I3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65254"/>
  <sheetViews>
    <sheetView view="pageBreakPreview" zoomScale="130" zoomScaleNormal="75" zoomScaleSheetLayoutView="130" workbookViewId="0">
      <selection activeCell="L10" sqref="L10:P10"/>
    </sheetView>
  </sheetViews>
  <sheetFormatPr defaultRowHeight="12.75" x14ac:dyDescent="0.2"/>
  <cols>
    <col min="1" max="1" width="3" style="24" bestFit="1" customWidth="1"/>
    <col min="2" max="2" width="1" style="23" customWidth="1"/>
    <col min="3" max="3" width="1.5703125" style="23" customWidth="1"/>
    <col min="4" max="4" width="12.85546875" style="23" customWidth="1"/>
    <col min="5" max="5" width="1.42578125" style="23" bestFit="1" customWidth="1"/>
    <col min="6" max="6" width="6.7109375" style="23" customWidth="1"/>
    <col min="7" max="9" width="2.7109375" style="23" customWidth="1"/>
    <col min="10" max="10" width="0.85546875" style="23" customWidth="1"/>
    <col min="11" max="11" width="2.28515625" style="23" customWidth="1"/>
    <col min="12" max="12" width="2.7109375" style="23" customWidth="1"/>
    <col min="13" max="13" width="0.85546875" style="24" customWidth="1"/>
    <col min="14" max="16" width="2.7109375" style="24" customWidth="1"/>
    <col min="17" max="17" width="1.42578125" style="24" customWidth="1"/>
    <col min="18" max="18" width="3" style="24" bestFit="1" customWidth="1"/>
    <col min="19" max="19" width="1" style="24" customWidth="1"/>
    <col min="20" max="20" width="1.5703125" style="24" customWidth="1"/>
    <col min="21" max="21" width="12.85546875" style="24" customWidth="1"/>
    <col min="22" max="22" width="1.42578125" style="24" bestFit="1" customWidth="1"/>
    <col min="23" max="23" width="6.7109375" style="24" customWidth="1"/>
    <col min="24" max="26" width="2.7109375" style="24" customWidth="1"/>
    <col min="27" max="27" width="0.85546875" style="24" customWidth="1"/>
    <col min="28" max="28" width="2.28515625" style="24" customWidth="1"/>
    <col min="29" max="29" width="2.7109375" style="24" customWidth="1"/>
    <col min="30" max="30" width="0.85546875" style="24" customWidth="1"/>
    <col min="31" max="33" width="2.7109375" style="24" customWidth="1"/>
    <col min="34" max="34" width="3.7109375" style="65" hidden="1" customWidth="1"/>
    <col min="35" max="35" width="12.42578125" style="181" hidden="1" customWidth="1"/>
    <col min="36" max="36" width="3" style="180" hidden="1" customWidth="1"/>
    <col min="37" max="37" width="3" style="58" hidden="1" customWidth="1"/>
    <col min="38" max="38" width="9.42578125" style="58" hidden="1" customWidth="1"/>
    <col min="39" max="39" width="2.85546875" style="49" hidden="1" customWidth="1"/>
    <col min="40" max="40" width="4.28515625" style="16" hidden="1" customWidth="1"/>
    <col min="41" max="41" width="15.42578125" style="16" hidden="1" customWidth="1"/>
    <col min="42" max="42" width="9.140625" style="16" hidden="1" customWidth="1"/>
    <col min="43" max="43" width="7" style="16" hidden="1" customWidth="1"/>
    <col min="44" max="44" width="6.140625" style="16" hidden="1" customWidth="1"/>
    <col min="45" max="46" width="9.140625" style="16" hidden="1" customWidth="1"/>
    <col min="47" max="47" width="2.85546875" style="16" hidden="1" customWidth="1"/>
    <col min="48" max="48" width="2" style="16" hidden="1" customWidth="1"/>
    <col min="49" max="49" width="2.28515625" style="16" hidden="1" customWidth="1"/>
    <col min="50" max="50" width="2.140625" style="16" hidden="1" customWidth="1"/>
    <col min="51" max="51" width="2.28515625" style="16" hidden="1" customWidth="1"/>
    <col min="52" max="52" width="3.7109375" style="16" hidden="1" customWidth="1"/>
    <col min="53" max="53" width="6.28515625" style="16" hidden="1" customWidth="1"/>
    <col min="54" max="95" width="9.140625" style="16" hidden="1" customWidth="1"/>
    <col min="96" max="96" width="10.28515625" style="16" hidden="1" customWidth="1"/>
    <col min="97" max="130" width="9.140625" style="16" customWidth="1"/>
    <col min="131" max="16384" width="9.140625" style="16"/>
  </cols>
  <sheetData>
    <row r="1" spans="1:96" ht="33.75" x14ac:dyDescent="0.5">
      <c r="A1" s="521" t="s">
        <v>217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63"/>
      <c r="AJ1" s="237"/>
      <c r="AK1" s="60"/>
      <c r="AL1" s="60"/>
      <c r="AM1" s="53"/>
      <c r="AN1" s="17"/>
      <c r="AO1" s="17"/>
      <c r="AP1" s="17"/>
      <c r="AQ1" s="17"/>
    </row>
    <row r="2" spans="1:96" ht="13.5" customHeight="1" x14ac:dyDescent="0.2">
      <c r="A2" s="262"/>
      <c r="B2" s="260"/>
      <c r="C2" s="260"/>
      <c r="D2" s="260"/>
      <c r="E2" s="260"/>
      <c r="F2" s="260"/>
      <c r="G2" s="260"/>
      <c r="H2" s="271"/>
      <c r="I2" s="260"/>
      <c r="J2" s="260"/>
      <c r="K2" s="260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353"/>
      <c r="Z2" s="262"/>
      <c r="AA2" s="262"/>
      <c r="AB2" s="262"/>
      <c r="AC2" s="262"/>
      <c r="AD2" s="262"/>
      <c r="AE2" s="262"/>
      <c r="AF2" s="262"/>
      <c r="AG2" s="262"/>
    </row>
    <row r="3" spans="1:96" ht="18.75" customHeight="1" x14ac:dyDescent="0.25">
      <c r="A3" s="536" t="s">
        <v>218</v>
      </c>
      <c r="B3" s="534"/>
      <c r="C3" s="534"/>
      <c r="D3" s="534"/>
      <c r="E3" s="534"/>
      <c r="F3" s="534"/>
      <c r="G3" s="534"/>
      <c r="H3" s="534"/>
      <c r="I3" s="534"/>
      <c r="J3" s="534"/>
      <c r="K3" s="534"/>
      <c r="L3" s="534"/>
      <c r="M3" s="534"/>
      <c r="N3" s="534"/>
      <c r="O3" s="534"/>
      <c r="P3" s="535"/>
      <c r="R3" s="536" t="s">
        <v>219</v>
      </c>
      <c r="S3" s="534"/>
      <c r="T3" s="534"/>
      <c r="U3" s="534"/>
      <c r="V3" s="534"/>
      <c r="W3" s="534"/>
      <c r="X3" s="534"/>
      <c r="Y3" s="534"/>
      <c r="Z3" s="534"/>
      <c r="AA3" s="534"/>
      <c r="AB3" s="534"/>
      <c r="AC3" s="534"/>
      <c r="AD3" s="534"/>
      <c r="AE3" s="534"/>
      <c r="AF3" s="534"/>
      <c r="AG3" s="535"/>
      <c r="AH3" s="63"/>
      <c r="AI3" s="238"/>
      <c r="AM3" s="48"/>
      <c r="AO3" s="16" t="s">
        <v>97</v>
      </c>
      <c r="AP3" s="16" t="s">
        <v>98</v>
      </c>
      <c r="AS3" s="16" t="s">
        <v>99</v>
      </c>
      <c r="BB3" s="16" t="s">
        <v>100</v>
      </c>
      <c r="BD3" s="16" t="s">
        <v>101</v>
      </c>
      <c r="BF3" s="16" t="s">
        <v>102</v>
      </c>
      <c r="BI3" s="16" t="s">
        <v>103</v>
      </c>
      <c r="BL3" s="16" t="s">
        <v>104</v>
      </c>
      <c r="BO3" s="16" t="s">
        <v>105</v>
      </c>
      <c r="BS3" s="16" t="s">
        <v>106</v>
      </c>
      <c r="BW3" s="16" t="s">
        <v>107</v>
      </c>
      <c r="CA3" s="16" t="s">
        <v>108</v>
      </c>
    </row>
    <row r="4" spans="1:96" ht="12.95" customHeight="1" x14ac:dyDescent="0.2">
      <c r="A4" s="28"/>
      <c r="B4" s="24"/>
      <c r="C4" s="24"/>
      <c r="D4" s="24"/>
      <c r="E4" s="24"/>
      <c r="F4" s="24"/>
      <c r="G4" s="338" t="s">
        <v>109</v>
      </c>
      <c r="H4" s="338" t="s">
        <v>110</v>
      </c>
      <c r="I4" s="338" t="s">
        <v>111</v>
      </c>
      <c r="J4" s="522" t="s">
        <v>112</v>
      </c>
      <c r="K4" s="522"/>
      <c r="L4" s="522" t="s">
        <v>113</v>
      </c>
      <c r="M4" s="522"/>
      <c r="N4" s="522"/>
      <c r="O4" s="338" t="str">
        <f>T("+/-")</f>
        <v>+/-</v>
      </c>
      <c r="P4" s="245" t="s">
        <v>114</v>
      </c>
      <c r="Q4" s="27"/>
      <c r="R4" s="28"/>
      <c r="X4" s="338" t="s">
        <v>109</v>
      </c>
      <c r="Y4" s="338" t="s">
        <v>110</v>
      </c>
      <c r="Z4" s="338" t="s">
        <v>111</v>
      </c>
      <c r="AA4" s="522" t="s">
        <v>112</v>
      </c>
      <c r="AB4" s="522"/>
      <c r="AC4" s="522" t="s">
        <v>113</v>
      </c>
      <c r="AD4" s="522"/>
      <c r="AE4" s="522"/>
      <c r="AF4" s="338" t="str">
        <f>T("+/-")</f>
        <v>+/-</v>
      </c>
      <c r="AG4" s="245" t="s">
        <v>114</v>
      </c>
      <c r="AI4" s="66"/>
      <c r="AJ4" s="67"/>
      <c r="AK4" s="66"/>
      <c r="AL4" s="66"/>
      <c r="AM4" s="47"/>
      <c r="AN4" s="37"/>
    </row>
    <row r="5" spans="1:96" ht="12.95" customHeight="1" x14ac:dyDescent="0.2">
      <c r="A5" s="516" t="s">
        <v>220</v>
      </c>
      <c r="B5" s="517"/>
      <c r="C5" s="118" t="e">
        <f>CH8</f>
        <v>#REF!</v>
      </c>
      <c r="D5" s="118"/>
      <c r="E5" s="118"/>
      <c r="F5" s="118"/>
      <c r="G5" s="334" t="e">
        <f t="shared" ref="G5:H8" si="0">CI8</f>
        <v>#REF!</v>
      </c>
      <c r="H5" s="334" t="e">
        <f t="shared" si="0"/>
        <v>#REF!</v>
      </c>
      <c r="I5" s="334" t="e">
        <f>CL8</f>
        <v>#REF!</v>
      </c>
      <c r="J5" s="513" t="e">
        <f>CK8</f>
        <v>#REF!</v>
      </c>
      <c r="K5" s="513"/>
      <c r="L5" s="167" t="e">
        <f>CM8</f>
        <v>#REF!</v>
      </c>
      <c r="M5" s="334" t="s">
        <v>16</v>
      </c>
      <c r="N5" s="282" t="e">
        <f t="shared" ref="N5:O8" si="1">CN8</f>
        <v>#REF!</v>
      </c>
      <c r="O5" s="334" t="e">
        <f t="shared" si="1"/>
        <v>#REF!</v>
      </c>
      <c r="P5" s="306" t="e">
        <f>SUM(H5*3+I5*1)</f>
        <v>#REF!</v>
      </c>
      <c r="Q5" s="167"/>
      <c r="R5" s="516" t="s">
        <v>220</v>
      </c>
      <c r="S5" s="517"/>
      <c r="T5" s="118" t="e">
        <f>CH15</f>
        <v>#REF!</v>
      </c>
      <c r="U5" s="118"/>
      <c r="V5" s="118"/>
      <c r="W5" s="118"/>
      <c r="X5" s="334" t="e">
        <f t="shared" ref="X5:Y8" si="2">CI15</f>
        <v>#REF!</v>
      </c>
      <c r="Y5" s="334" t="e">
        <f t="shared" si="2"/>
        <v>#REF!</v>
      </c>
      <c r="Z5" s="334" t="e">
        <f>CL15</f>
        <v>#REF!</v>
      </c>
      <c r="AA5" s="513" t="e">
        <f>CK15</f>
        <v>#REF!</v>
      </c>
      <c r="AB5" s="513"/>
      <c r="AC5" s="167" t="e">
        <f>CM15</f>
        <v>#REF!</v>
      </c>
      <c r="AD5" s="334" t="s">
        <v>16</v>
      </c>
      <c r="AE5" s="282" t="e">
        <f t="shared" ref="AE5:AF8" si="3">CN15</f>
        <v>#REF!</v>
      </c>
      <c r="AF5" s="334" t="e">
        <f t="shared" si="3"/>
        <v>#REF!</v>
      </c>
      <c r="AG5" s="306" t="e">
        <f>SUM(Y5*3+Z5*1)</f>
        <v>#REF!</v>
      </c>
      <c r="AH5" s="63"/>
      <c r="AI5" s="68"/>
      <c r="AJ5" s="67"/>
      <c r="AK5" s="68"/>
      <c r="AL5" s="68"/>
      <c r="AM5" s="48"/>
      <c r="AN5" s="38"/>
      <c r="CR5" s="19"/>
    </row>
    <row r="6" spans="1:96" ht="12.95" customHeight="1" thickBot="1" x14ac:dyDescent="0.25">
      <c r="A6" s="516" t="s">
        <v>221</v>
      </c>
      <c r="B6" s="517"/>
      <c r="C6" s="118" t="e">
        <f>CH9</f>
        <v>#REF!</v>
      </c>
      <c r="D6" s="118"/>
      <c r="E6" s="118"/>
      <c r="F6" s="118"/>
      <c r="G6" s="334" t="e">
        <f t="shared" si="0"/>
        <v>#REF!</v>
      </c>
      <c r="H6" s="334" t="e">
        <f t="shared" si="0"/>
        <v>#REF!</v>
      </c>
      <c r="I6" s="334" t="e">
        <f>CL9</f>
        <v>#REF!</v>
      </c>
      <c r="J6" s="513" t="e">
        <f>CK9</f>
        <v>#REF!</v>
      </c>
      <c r="K6" s="513"/>
      <c r="L6" s="167" t="e">
        <f>CM9</f>
        <v>#REF!</v>
      </c>
      <c r="M6" s="334" t="s">
        <v>16</v>
      </c>
      <c r="N6" s="282" t="e">
        <f t="shared" si="1"/>
        <v>#REF!</v>
      </c>
      <c r="O6" s="334" t="e">
        <f t="shared" si="1"/>
        <v>#REF!</v>
      </c>
      <c r="P6" s="306" t="e">
        <f>SUM(H6*3+I6*1)</f>
        <v>#REF!</v>
      </c>
      <c r="Q6" s="167"/>
      <c r="R6" s="516" t="s">
        <v>221</v>
      </c>
      <c r="S6" s="517"/>
      <c r="T6" s="118" t="e">
        <f>CH16</f>
        <v>#REF!</v>
      </c>
      <c r="U6" s="118"/>
      <c r="V6" s="118"/>
      <c r="W6" s="118"/>
      <c r="X6" s="334" t="e">
        <f t="shared" si="2"/>
        <v>#REF!</v>
      </c>
      <c r="Y6" s="334" t="e">
        <f t="shared" si="2"/>
        <v>#REF!</v>
      </c>
      <c r="Z6" s="334" t="e">
        <f>CL16</f>
        <v>#REF!</v>
      </c>
      <c r="AA6" s="513" t="e">
        <f>CK16</f>
        <v>#REF!</v>
      </c>
      <c r="AB6" s="513"/>
      <c r="AC6" s="167" t="e">
        <f>CM16</f>
        <v>#REF!</v>
      </c>
      <c r="AD6" s="334" t="s">
        <v>16</v>
      </c>
      <c r="AE6" s="282" t="e">
        <f t="shared" si="3"/>
        <v>#REF!</v>
      </c>
      <c r="AF6" s="334" t="e">
        <f t="shared" si="3"/>
        <v>#REF!</v>
      </c>
      <c r="AG6" s="306" t="e">
        <f>SUM(Y6*3+Z6*1)</f>
        <v>#REF!</v>
      </c>
      <c r="AS6" s="16" t="s">
        <v>117</v>
      </c>
      <c r="CR6" s="19"/>
    </row>
    <row r="7" spans="1:96" ht="12.95" customHeight="1" thickBot="1" x14ac:dyDescent="0.25">
      <c r="A7" s="516" t="s">
        <v>222</v>
      </c>
      <c r="B7" s="517"/>
      <c r="C7" s="118" t="e">
        <f>CH10</f>
        <v>#REF!</v>
      </c>
      <c r="D7" s="118"/>
      <c r="E7" s="118"/>
      <c r="F7" s="118"/>
      <c r="G7" s="334" t="e">
        <f t="shared" si="0"/>
        <v>#REF!</v>
      </c>
      <c r="H7" s="334" t="e">
        <f t="shared" si="0"/>
        <v>#REF!</v>
      </c>
      <c r="I7" s="334" t="e">
        <f>CL10</f>
        <v>#REF!</v>
      </c>
      <c r="J7" s="513" t="e">
        <f>CK10</f>
        <v>#REF!</v>
      </c>
      <c r="K7" s="513"/>
      <c r="L7" s="167" t="e">
        <f>CM10</f>
        <v>#REF!</v>
      </c>
      <c r="M7" s="334" t="s">
        <v>16</v>
      </c>
      <c r="N7" s="282" t="e">
        <f t="shared" si="1"/>
        <v>#REF!</v>
      </c>
      <c r="O7" s="334" t="e">
        <f t="shared" si="1"/>
        <v>#REF!</v>
      </c>
      <c r="P7" s="306" t="e">
        <f>SUM(H7*3+I7*1)</f>
        <v>#REF!</v>
      </c>
      <c r="Q7" s="167"/>
      <c r="R7" s="516" t="s">
        <v>222</v>
      </c>
      <c r="S7" s="517"/>
      <c r="T7" s="118" t="e">
        <f>CH17</f>
        <v>#REF!</v>
      </c>
      <c r="U7" s="118"/>
      <c r="V7" s="118"/>
      <c r="W7" s="118"/>
      <c r="X7" s="334" t="e">
        <f t="shared" si="2"/>
        <v>#REF!</v>
      </c>
      <c r="Y7" s="334" t="e">
        <f t="shared" si="2"/>
        <v>#REF!</v>
      </c>
      <c r="Z7" s="334" t="e">
        <f>CL17</f>
        <v>#REF!</v>
      </c>
      <c r="AA7" s="513" t="e">
        <f>CK17</f>
        <v>#REF!</v>
      </c>
      <c r="AB7" s="513"/>
      <c r="AC7" s="167" t="e">
        <f>CM17</f>
        <v>#REF!</v>
      </c>
      <c r="AD7" s="334" t="s">
        <v>16</v>
      </c>
      <c r="AE7" s="282" t="e">
        <f t="shared" si="3"/>
        <v>#REF!</v>
      </c>
      <c r="AF7" s="334" t="e">
        <f t="shared" si="3"/>
        <v>#REF!</v>
      </c>
      <c r="AG7" s="306" t="e">
        <f>SUM(Y7*3+Z7*1)</f>
        <v>#REF!</v>
      </c>
      <c r="AH7" s="69" t="s">
        <v>119</v>
      </c>
      <c r="AI7" s="70" t="s">
        <v>120</v>
      </c>
      <c r="AJ7" s="70" t="str">
        <f>I12</f>
        <v>…</v>
      </c>
      <c r="AK7" s="232" t="str">
        <f>K12</f>
        <v>…</v>
      </c>
      <c r="AL7" s="73" t="s">
        <v>121</v>
      </c>
      <c r="AM7" s="54" t="s">
        <v>122</v>
      </c>
      <c r="AN7" s="44" t="s">
        <v>123</v>
      </c>
      <c r="AO7" s="45" t="str">
        <f t="shared" ref="AO7:AO55" si="4">IF(AJ7&lt;&gt;"",IF(AJ7&gt;AK7,AI7,IF(AK7&gt;AJ7,AL7,"Draw")),"")</f>
        <v>Draw</v>
      </c>
      <c r="AP7" s="45" t="str">
        <f t="shared" ref="AP7:AP55" si="5">IF(AJ7&lt;&gt;"",IF(AJ7&lt;AK7,AI7,IF(AK7&lt;AJ7,AL7,"Draw")),"")</f>
        <v>Draw</v>
      </c>
      <c r="AQ7" s="45"/>
      <c r="AT7" s="16" t="s">
        <v>124</v>
      </c>
      <c r="AU7" s="16" t="s">
        <v>110</v>
      </c>
      <c r="AV7" s="16" t="s">
        <v>125</v>
      </c>
      <c r="AW7" s="16" t="s">
        <v>126</v>
      </c>
      <c r="AX7" s="16" t="s">
        <v>127</v>
      </c>
      <c r="AY7" s="16" t="s">
        <v>123</v>
      </c>
      <c r="AZ7" s="16" t="s">
        <v>128</v>
      </c>
      <c r="BA7" s="16" t="s">
        <v>129</v>
      </c>
      <c r="BB7" s="16" t="s">
        <v>130</v>
      </c>
      <c r="BC7" s="20" t="s">
        <v>129</v>
      </c>
      <c r="BD7" s="16" t="s">
        <v>130</v>
      </c>
      <c r="BE7" s="20" t="s">
        <v>129</v>
      </c>
      <c r="BF7" s="16" t="s">
        <v>130</v>
      </c>
      <c r="BG7" s="20" t="s">
        <v>129</v>
      </c>
      <c r="BH7" s="20" t="s">
        <v>128</v>
      </c>
      <c r="BI7" s="16" t="s">
        <v>130</v>
      </c>
      <c r="BJ7" s="16" t="s">
        <v>129</v>
      </c>
      <c r="BK7" s="20" t="s">
        <v>128</v>
      </c>
      <c r="BL7" s="16" t="s">
        <v>130</v>
      </c>
      <c r="BM7" s="16" t="s">
        <v>129</v>
      </c>
      <c r="BN7" s="20" t="s">
        <v>128</v>
      </c>
      <c r="BO7" s="16" t="s">
        <v>130</v>
      </c>
      <c r="BP7" s="16" t="s">
        <v>129</v>
      </c>
      <c r="BQ7" s="20" t="s">
        <v>128</v>
      </c>
      <c r="BR7" s="20" t="s">
        <v>127</v>
      </c>
      <c r="BS7" s="16" t="s">
        <v>130</v>
      </c>
      <c r="BT7" s="16" t="s">
        <v>129</v>
      </c>
      <c r="BU7" s="20" t="s">
        <v>128</v>
      </c>
      <c r="BV7" s="20" t="s">
        <v>127</v>
      </c>
      <c r="BW7" s="16" t="s">
        <v>130</v>
      </c>
      <c r="BX7" s="16" t="s">
        <v>129</v>
      </c>
      <c r="BY7" s="20" t="s">
        <v>128</v>
      </c>
      <c r="BZ7" s="20" t="s">
        <v>127</v>
      </c>
      <c r="CA7" s="16" t="s">
        <v>130</v>
      </c>
      <c r="CB7" s="20" t="s">
        <v>129</v>
      </c>
      <c r="CC7" s="20" t="s">
        <v>128</v>
      </c>
      <c r="CD7" s="20" t="s">
        <v>127</v>
      </c>
      <c r="CI7" s="20" t="s">
        <v>131</v>
      </c>
      <c r="CJ7" s="20" t="s">
        <v>110</v>
      </c>
      <c r="CK7" s="20" t="s">
        <v>125</v>
      </c>
      <c r="CL7" s="20" t="s">
        <v>126</v>
      </c>
      <c r="CM7" s="20" t="s">
        <v>127</v>
      </c>
      <c r="CN7" s="20" t="s">
        <v>123</v>
      </c>
      <c r="CO7" s="20" t="s">
        <v>128</v>
      </c>
      <c r="CP7" s="20" t="s">
        <v>129</v>
      </c>
      <c r="CR7" s="21" t="e">
        <f>#REF!</f>
        <v>#REF!</v>
      </c>
    </row>
    <row r="8" spans="1:96" ht="12.95" customHeight="1" thickBot="1" x14ac:dyDescent="0.25">
      <c r="A8" s="516" t="s">
        <v>223</v>
      </c>
      <c r="B8" s="517"/>
      <c r="C8" s="118" t="e">
        <f>CH11</f>
        <v>#REF!</v>
      </c>
      <c r="D8" s="118"/>
      <c r="E8" s="118"/>
      <c r="F8" s="118"/>
      <c r="G8" s="334" t="e">
        <f t="shared" si="0"/>
        <v>#REF!</v>
      </c>
      <c r="H8" s="334" t="e">
        <f t="shared" si="0"/>
        <v>#REF!</v>
      </c>
      <c r="I8" s="334" t="e">
        <f>CL11</f>
        <v>#REF!</v>
      </c>
      <c r="J8" s="513" t="e">
        <f>CK11</f>
        <v>#REF!</v>
      </c>
      <c r="K8" s="513"/>
      <c r="L8" s="167" t="e">
        <f>CM11</f>
        <v>#REF!</v>
      </c>
      <c r="M8" s="334" t="s">
        <v>16</v>
      </c>
      <c r="N8" s="282" t="e">
        <f t="shared" si="1"/>
        <v>#REF!</v>
      </c>
      <c r="O8" s="334" t="e">
        <f t="shared" si="1"/>
        <v>#REF!</v>
      </c>
      <c r="P8" s="306" t="e">
        <f>SUM(H8*3+I8*1)</f>
        <v>#REF!</v>
      </c>
      <c r="Q8" s="167"/>
      <c r="R8" s="516" t="s">
        <v>223</v>
      </c>
      <c r="S8" s="517"/>
      <c r="T8" s="118" t="e">
        <f>CH18</f>
        <v>#REF!</v>
      </c>
      <c r="U8" s="118"/>
      <c r="V8" s="118"/>
      <c r="W8" s="118"/>
      <c r="X8" s="334" t="e">
        <f t="shared" si="2"/>
        <v>#REF!</v>
      </c>
      <c r="Y8" s="334" t="e">
        <f t="shared" si="2"/>
        <v>#REF!</v>
      </c>
      <c r="Z8" s="334" t="e">
        <f>CL18</f>
        <v>#REF!</v>
      </c>
      <c r="AA8" s="513" t="e">
        <f>CK18</f>
        <v>#REF!</v>
      </c>
      <c r="AB8" s="513"/>
      <c r="AC8" s="167" t="e">
        <f>CM18</f>
        <v>#REF!</v>
      </c>
      <c r="AD8" s="334" t="s">
        <v>16</v>
      </c>
      <c r="AE8" s="282" t="e">
        <f t="shared" si="3"/>
        <v>#REF!</v>
      </c>
      <c r="AF8" s="334" t="e">
        <f t="shared" si="3"/>
        <v>#REF!</v>
      </c>
      <c r="AG8" s="306" t="e">
        <f>SUM(Y8*3+Z8*1)</f>
        <v>#REF!</v>
      </c>
      <c r="AH8" s="70" t="s">
        <v>133</v>
      </c>
      <c r="AI8" s="70" t="s">
        <v>134</v>
      </c>
      <c r="AJ8" s="70" t="str">
        <f>I43</f>
        <v>…</v>
      </c>
      <c r="AK8" s="232" t="str">
        <f>K43</f>
        <v>…</v>
      </c>
      <c r="AL8" s="73" t="s">
        <v>135</v>
      </c>
      <c r="AM8" s="51" t="s">
        <v>136</v>
      </c>
      <c r="AN8" s="44" t="s">
        <v>137</v>
      </c>
      <c r="AO8" s="45" t="str">
        <f t="shared" si="4"/>
        <v>Draw</v>
      </c>
      <c r="AP8" s="45" t="str">
        <f t="shared" si="5"/>
        <v>Draw</v>
      </c>
      <c r="AQ8" s="45"/>
      <c r="AS8" s="16" t="str">
        <f>EINDRONDE!D8</f>
        <v>De Torpedo's</v>
      </c>
      <c r="AT8" s="16">
        <f>COUNT(France_Played)</f>
        <v>1</v>
      </c>
      <c r="AU8" s="16">
        <f>COUNTIF(Groupstage_Winners,"France")</f>
        <v>0</v>
      </c>
      <c r="AV8" s="16">
        <f>COUNTIF(Groupstage_Losers,"France")</f>
        <v>1</v>
      </c>
      <c r="AW8" s="16">
        <f>AT8-(AU8+AV8)</f>
        <v>0</v>
      </c>
      <c r="AX8" s="16" t="e">
        <f>SUM(France_Played)</f>
        <v>#REF!</v>
      </c>
      <c r="AY8" s="16" t="e">
        <f>SUM(France_Against)</f>
        <v>#REF!</v>
      </c>
      <c r="AZ8" s="16" t="e">
        <f>AX8-AY8</f>
        <v>#REF!</v>
      </c>
      <c r="BA8" s="16">
        <f>SUM((AU8*3)+(AW8*1))</f>
        <v>0</v>
      </c>
      <c r="BB8" s="16" t="str">
        <f>IF($BA8&gt;=$BA9,$AS8,$AS9)</f>
        <v>De Doofpot</v>
      </c>
      <c r="BC8" s="16">
        <f>VLOOKUP($BB8,$AS8:$BA11,9,FALSE)</f>
        <v>3</v>
      </c>
      <c r="BD8" s="16" t="str">
        <f>IF($BC8&gt;=$BC10,$BB8,$BB10)</f>
        <v>De Doofpot</v>
      </c>
      <c r="BE8" s="16">
        <f>VLOOKUP($BD8,$AS8:$BA11,9,FALSE)</f>
        <v>3</v>
      </c>
      <c r="BF8" s="16" t="str">
        <f>IF($BE8&gt;=$BE11,$BD8,$BD11)</f>
        <v>De Doofpot</v>
      </c>
      <c r="BG8" s="16">
        <f>VLOOKUP($BF8,$AS8:$BA11,9,FALSE)</f>
        <v>3</v>
      </c>
      <c r="BH8" s="16" t="e">
        <f>VLOOKUP($BF8,$AS8:$BA11,8,FALSE)</f>
        <v>#REF!</v>
      </c>
      <c r="BI8" s="16" t="e">
        <f>IF(AND($BG8=$BG9,$BH9&gt;$BH8),$BF9,$BF8)</f>
        <v>#REF!</v>
      </c>
      <c r="BJ8" s="16" t="e">
        <f>VLOOKUP($BI8,$AS8:$BA11,9,FALSE)</f>
        <v>#REF!</v>
      </c>
      <c r="BK8" s="16" t="e">
        <f>VLOOKUP($BI8,$AS8:$BA11,8,FALSE)</f>
        <v>#REF!</v>
      </c>
      <c r="BL8" s="16" t="e">
        <f>IF(AND($BJ8=$BJ10,$BK10&gt;$BK8),$BI10,$BI8)</f>
        <v>#REF!</v>
      </c>
      <c r="BM8" s="16" t="e">
        <f>VLOOKUP($BL8,$AS8:$BA11,9,FALSE)</f>
        <v>#REF!</v>
      </c>
      <c r="BN8" s="16" t="e">
        <f>VLOOKUP($BL8,$AS8:$BA11,8,FALSE)</f>
        <v>#REF!</v>
      </c>
      <c r="BO8" s="16" t="e">
        <f>IF(AND($BM8=$BM11,$BN11&gt;$BN8),$BL11,$BL8)</f>
        <v>#REF!</v>
      </c>
      <c r="BP8" s="16" t="e">
        <f>VLOOKUP($BO8,$AS8:$BA11,9,FALSE)</f>
        <v>#REF!</v>
      </c>
      <c r="BQ8" s="16" t="e">
        <f>VLOOKUP($BO8,$AS8:$BA11,8,FALSE)</f>
        <v>#REF!</v>
      </c>
      <c r="BR8" s="16" t="e">
        <f>VLOOKUP($BO8,$AS8:$BA11,6,FALSE)</f>
        <v>#REF!</v>
      </c>
      <c r="BS8" s="16" t="e">
        <f>IF(AND($BP8=$BP9,$BQ8=$BQ9,$BR9&gt;$BR8),$BO9,$BO8)</f>
        <v>#REF!</v>
      </c>
      <c r="BT8" s="16" t="e">
        <f>VLOOKUP($BS8,$AS8:$BA11,9,FALSE)</f>
        <v>#REF!</v>
      </c>
      <c r="BU8" s="16" t="e">
        <f>VLOOKUP($BS8,$AS8:$BA11,8,FALSE)</f>
        <v>#REF!</v>
      </c>
      <c r="BV8" s="16" t="e">
        <f>VLOOKUP($BS8,$AS8:$BA11,6,FALSE)</f>
        <v>#REF!</v>
      </c>
      <c r="BW8" s="16" t="e">
        <f>IF(AND($BT8=$BT10,$BU8=$BU10,$BV10&gt;$BV8),$BS10,$BS8)</f>
        <v>#REF!</v>
      </c>
      <c r="BX8" s="16" t="e">
        <f>VLOOKUP($BW8,$AS8:$BA11,9,FALSE)</f>
        <v>#REF!</v>
      </c>
      <c r="BY8" s="16" t="e">
        <f>VLOOKUP($BW8,$AS8:$BA11,8,FALSE)</f>
        <v>#REF!</v>
      </c>
      <c r="BZ8" s="16" t="e">
        <f>VLOOKUP($BW8,$AS8:$BA11,6,FALSE)</f>
        <v>#REF!</v>
      </c>
      <c r="CA8" s="16" t="e">
        <f>IF(AND($BX8=$BX11,$BY8=$BY11,$BZ11&gt;$BZ8),$BW11,$BW8)</f>
        <v>#REF!</v>
      </c>
      <c r="CB8" s="16" t="e">
        <f>VLOOKUP($CA8,$AS8:$BA11,9,FALSE)</f>
        <v>#REF!</v>
      </c>
      <c r="CC8" s="16" t="e">
        <f>VLOOKUP($CA8,$AS8:$BA11,8,FALSE)</f>
        <v>#REF!</v>
      </c>
      <c r="CD8" s="16" t="e">
        <f>VLOOKUP($CA8,$AS8:$BA11,6,FALSE)</f>
        <v>#REF!</v>
      </c>
      <c r="CH8" s="16" t="e">
        <f>CA8</f>
        <v>#REF!</v>
      </c>
      <c r="CI8" s="16" t="e">
        <f>VLOOKUP($CH8,$AS8:$BA11,2,FALSE)</f>
        <v>#REF!</v>
      </c>
      <c r="CJ8" s="16" t="e">
        <f>VLOOKUP($CH8,$AS8:$BA11,3,FALSE)</f>
        <v>#REF!</v>
      </c>
      <c r="CK8" s="16" t="e">
        <f>VLOOKUP($CH8,$AS8:$BA11,4,FALSE)</f>
        <v>#REF!</v>
      </c>
      <c r="CL8" s="16" t="e">
        <f>VLOOKUP($CH8,$AS8:$BA11,5,FALSE)</f>
        <v>#REF!</v>
      </c>
      <c r="CM8" s="16" t="e">
        <f>VLOOKUP($CH8,$AS8:$BA11,6,FALSE)</f>
        <v>#REF!</v>
      </c>
      <c r="CN8" s="16" t="e">
        <f>VLOOKUP($CH8,$AS8:$BA11,7,FALSE)</f>
        <v>#REF!</v>
      </c>
      <c r="CO8" s="16" t="e">
        <f>VLOOKUP($CH8,$AS8:$BA11,8,FALSE)</f>
        <v>#REF!</v>
      </c>
      <c r="CP8" s="16" t="e">
        <f>VLOOKUP($CH8,$AS8:$BA11,9,FALSE)</f>
        <v>#REF!</v>
      </c>
      <c r="CR8" s="21" t="e">
        <f>#REF!</f>
        <v>#REF!</v>
      </c>
    </row>
    <row r="9" spans="1:96" ht="7.5" customHeight="1" thickBot="1" x14ac:dyDescent="0.25">
      <c r="A9" s="28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P9" s="32"/>
      <c r="R9" s="28"/>
      <c r="AG9" s="32"/>
      <c r="AH9" s="70" t="s">
        <v>138</v>
      </c>
      <c r="AI9" s="70" t="s">
        <v>139</v>
      </c>
      <c r="AJ9" s="70" t="str">
        <f>I11</f>
        <v>…</v>
      </c>
      <c r="AK9" s="232" t="str">
        <f>K11</f>
        <v>…</v>
      </c>
      <c r="AL9" s="73" t="s">
        <v>140</v>
      </c>
      <c r="AM9" s="55" t="s">
        <v>141</v>
      </c>
      <c r="AN9" s="44" t="s">
        <v>123</v>
      </c>
      <c r="AO9" s="45" t="str">
        <f t="shared" si="4"/>
        <v>Draw</v>
      </c>
      <c r="AP9" s="45" t="str">
        <f t="shared" si="5"/>
        <v>Draw</v>
      </c>
      <c r="AS9" s="16" t="str">
        <f>EINDRONDE!D9</f>
        <v>De Doofpot</v>
      </c>
      <c r="AT9" s="16">
        <f>COUNT(Senegal_Played)</f>
        <v>1</v>
      </c>
      <c r="AU9" s="16">
        <f>COUNTIF(Groupstage_Winners,"Senegal")</f>
        <v>1</v>
      </c>
      <c r="AV9" s="16">
        <f>COUNTIF(Groupstage_Losers,"Senegal")</f>
        <v>0</v>
      </c>
      <c r="AW9" s="16">
        <f>AT9-(AU9+AV9)</f>
        <v>0</v>
      </c>
      <c r="AX9" s="16" t="e">
        <f>SUM(Senegal_Played)</f>
        <v>#REF!</v>
      </c>
      <c r="AY9" s="16" t="e">
        <f>SUM(Senegal_Against)</f>
        <v>#REF!</v>
      </c>
      <c r="AZ9" s="16" t="e">
        <f>AX9-AY9</f>
        <v>#REF!</v>
      </c>
      <c r="BA9" s="16">
        <f t="shared" ref="BA9:BA11" si="6">SUM((AU9*3)+(AW9*1))</f>
        <v>3</v>
      </c>
      <c r="BB9" s="16" t="str">
        <f>IF($BA9&lt;=$BA8,$AS9,$AS8)</f>
        <v>De Torpedo's</v>
      </c>
      <c r="BC9" s="16">
        <f>VLOOKUP($BB9,$AS8:$BA11,9,FALSE)</f>
        <v>0</v>
      </c>
      <c r="BD9" s="16" t="str">
        <f>IF(BC9&gt;=BC11,BB9,BB11)</f>
        <v>De Torpedo's</v>
      </c>
      <c r="BE9" s="16">
        <f>VLOOKUP($BD9,$AS8:$BA11,9,FALSE)</f>
        <v>0</v>
      </c>
      <c r="BF9" s="16" t="str">
        <f>IF($BE9&gt;=$BE10,$BD9,$BD10)</f>
        <v>2e Poule F</v>
      </c>
      <c r="BG9" s="16">
        <f>VLOOKUP($BF9,$AS8:$BA11,9,FALSE)</f>
        <v>3</v>
      </c>
      <c r="BH9" s="16" t="e">
        <f>VLOOKUP($BF9,$AS8:$BA11,8,FALSE)</f>
        <v>#REF!</v>
      </c>
      <c r="BI9" s="16" t="e">
        <f>IF(AND($BG8=$BG9,$BH9&gt;$BH8),$BF8,$BF9)</f>
        <v>#REF!</v>
      </c>
      <c r="BJ9" s="16" t="e">
        <f>VLOOKUP($BI9,$AS8:$BA11,9,FALSE)</f>
        <v>#REF!</v>
      </c>
      <c r="BK9" s="16" t="e">
        <f>VLOOKUP($BI9,$AS8:$BA11,8,FALSE)</f>
        <v>#REF!</v>
      </c>
      <c r="BL9" s="16" t="e">
        <f>IF(AND($BJ9=$BJ11,$BK11&gt;$BK9),$BI11,$BI9)</f>
        <v>#REF!</v>
      </c>
      <c r="BM9" s="16" t="e">
        <f>VLOOKUP($BL9,$AS8:$BA11,9,FALSE)</f>
        <v>#REF!</v>
      </c>
      <c r="BN9" s="16" t="e">
        <f>VLOOKUP($BL9,$AS8:$BA11,8,FALSE)</f>
        <v>#REF!</v>
      </c>
      <c r="BO9" s="16" t="e">
        <f>IF(AND($BM9=$BM10,$BN10&gt;$BN9),$BL10,$BL9)</f>
        <v>#REF!</v>
      </c>
      <c r="BP9" s="16" t="e">
        <f>VLOOKUP($BO9,$AS8:$BA11,9,FALSE)</f>
        <v>#REF!</v>
      </c>
      <c r="BQ9" s="16" t="e">
        <f>VLOOKUP($BO9,$AS8:$BA11,8,FALSE)</f>
        <v>#REF!</v>
      </c>
      <c r="BR9" s="16" t="e">
        <f>VLOOKUP($BO9,$AS8:$BA11,6,FALSE)</f>
        <v>#REF!</v>
      </c>
      <c r="BS9" s="16" t="e">
        <f>IF(AND($BP8=$BP9,$BQ8=$BQ9,$BR9&gt;$BR8),$BO8,$BO9)</f>
        <v>#REF!</v>
      </c>
      <c r="BT9" s="16" t="e">
        <f>VLOOKUP($BS9,$AS8:$BA11,9,FALSE)</f>
        <v>#REF!</v>
      </c>
      <c r="BU9" s="16" t="e">
        <f>VLOOKUP($BS9,$AS8:$BA11,8,FALSE)</f>
        <v>#REF!</v>
      </c>
      <c r="BV9" s="16" t="e">
        <f>VLOOKUP($BS9,$AS8:$BA11,6,FALSE)</f>
        <v>#REF!</v>
      </c>
      <c r="BW9" s="16" t="e">
        <f>IF(AND($BT9=$BT11,$BU9=$BU11,$BV11&gt;$BV9),$BS11,$BS9)</f>
        <v>#REF!</v>
      </c>
      <c r="BX9" s="16" t="e">
        <f>VLOOKUP($BW9,$AS8:$BA11,9,FALSE)</f>
        <v>#REF!</v>
      </c>
      <c r="BY9" s="16" t="e">
        <f>VLOOKUP($BW9,$AS8:$BA11,8,FALSE)</f>
        <v>#REF!</v>
      </c>
      <c r="BZ9" s="16" t="e">
        <f>VLOOKUP($BW9,$AS8:$BA11,6,FALSE)</f>
        <v>#REF!</v>
      </c>
      <c r="CA9" s="16" t="e">
        <f>IF(AND($BX9=$BX10,$BY9=$BY10,$BZ10&gt;$BZ9),$BW10,$BW9)</f>
        <v>#REF!</v>
      </c>
      <c r="CB9" s="16" t="e">
        <f>VLOOKUP($CA9,$AS8:$BA11,9,FALSE)</f>
        <v>#REF!</v>
      </c>
      <c r="CC9" s="16" t="e">
        <f>VLOOKUP($CA9,$AS8:$BA11,8,FALSE)</f>
        <v>#REF!</v>
      </c>
      <c r="CD9" s="16" t="e">
        <f>VLOOKUP($CA9,$AS8:$BA11,6,FALSE)</f>
        <v>#REF!</v>
      </c>
      <c r="CH9" s="16" t="e">
        <f>CA9</f>
        <v>#REF!</v>
      </c>
      <c r="CI9" s="16" t="e">
        <f>VLOOKUP($CH9,$AS8:$BA11,2,FALSE)</f>
        <v>#REF!</v>
      </c>
      <c r="CJ9" s="16" t="e">
        <f>VLOOKUP($CH9,$AS8:$BA11,3,FALSE)</f>
        <v>#REF!</v>
      </c>
      <c r="CK9" s="16" t="e">
        <f>VLOOKUP($CH9,$AS8:$BA11,4,FALSE)</f>
        <v>#REF!</v>
      </c>
      <c r="CL9" s="16" t="e">
        <f>VLOOKUP($CH9,$AS8:$BA11,5,FALSE)</f>
        <v>#REF!</v>
      </c>
      <c r="CM9" s="16" t="e">
        <f>VLOOKUP($CH9,$AS8:$BA11,6,FALSE)</f>
        <v>#REF!</v>
      </c>
      <c r="CN9" s="16" t="e">
        <f>VLOOKUP($CH9,$AS8:$BA11,7,FALSE)</f>
        <v>#REF!</v>
      </c>
      <c r="CO9" s="16" t="e">
        <f>VLOOKUP($CH9,$AS8:$BA11,8,FALSE)</f>
        <v>#REF!</v>
      </c>
      <c r="CP9" s="16" t="e">
        <f>VLOOKUP($CH9,$AS8:$BA11,9,FALSE)</f>
        <v>#REF!</v>
      </c>
      <c r="CR9" s="21" t="e">
        <f>#REF!</f>
        <v>#REF!</v>
      </c>
    </row>
    <row r="10" spans="1:96" s="145" customFormat="1" ht="9.75" customHeight="1" thickBot="1" x14ac:dyDescent="0.25">
      <c r="A10" s="246" t="s">
        <v>85</v>
      </c>
      <c r="B10" s="339"/>
      <c r="C10" s="339"/>
      <c r="D10" s="124" t="s">
        <v>86</v>
      </c>
      <c r="E10" s="124"/>
      <c r="F10" s="124"/>
      <c r="G10" s="124"/>
      <c r="H10" s="124"/>
      <c r="I10" s="515" t="s">
        <v>15</v>
      </c>
      <c r="J10" s="515"/>
      <c r="K10" s="515"/>
      <c r="L10" s="526"/>
      <c r="M10" s="526"/>
      <c r="N10" s="526"/>
      <c r="O10" s="526"/>
      <c r="P10" s="527"/>
      <c r="Q10" s="24"/>
      <c r="R10" s="246" t="s">
        <v>85</v>
      </c>
      <c r="S10" s="339"/>
      <c r="T10" s="339"/>
      <c r="U10" s="124" t="s">
        <v>86</v>
      </c>
      <c r="V10" s="124"/>
      <c r="W10" s="124"/>
      <c r="X10" s="124"/>
      <c r="Y10" s="124"/>
      <c r="Z10" s="515" t="s">
        <v>15</v>
      </c>
      <c r="AA10" s="515"/>
      <c r="AB10" s="515"/>
      <c r="AC10" s="526"/>
      <c r="AD10" s="526"/>
      <c r="AE10" s="526"/>
      <c r="AF10" s="526"/>
      <c r="AG10" s="527"/>
      <c r="AH10" s="147" t="s">
        <v>142</v>
      </c>
      <c r="AI10" s="148" t="s">
        <v>143</v>
      </c>
      <c r="AJ10" s="148" t="str">
        <f>I42</f>
        <v>…</v>
      </c>
      <c r="AK10" s="233" t="str">
        <f>K42</f>
        <v>…</v>
      </c>
      <c r="AL10" s="149" t="s">
        <v>144</v>
      </c>
      <c r="AM10" s="150" t="s">
        <v>145</v>
      </c>
      <c r="AN10" s="143" t="s">
        <v>137</v>
      </c>
      <c r="AO10" s="144" t="str">
        <f t="shared" si="4"/>
        <v>Draw</v>
      </c>
      <c r="AP10" s="144" t="str">
        <f t="shared" si="5"/>
        <v>Draw</v>
      </c>
      <c r="AQ10" s="144"/>
      <c r="AS10" s="145" t="str">
        <f>EINDRONDE!D10</f>
        <v>2e Poule F</v>
      </c>
      <c r="AT10" s="145">
        <f>COUNT(Uruguay_Played)</f>
        <v>1</v>
      </c>
      <c r="AU10" s="145">
        <f>COUNTIF(Groupstage_Winners,"Uruguay")</f>
        <v>1</v>
      </c>
      <c r="AV10" s="145">
        <f>COUNTIF(Groupstage_Losers,"Uruguay")</f>
        <v>0</v>
      </c>
      <c r="AW10" s="145">
        <f>AT10-(AU10+AV10)</f>
        <v>0</v>
      </c>
      <c r="AX10" s="145" t="e">
        <f>SUM(Uruguay_Played)</f>
        <v>#REF!</v>
      </c>
      <c r="AY10" s="145" t="e">
        <f>SUM(Uruguay_Against)</f>
        <v>#REF!</v>
      </c>
      <c r="AZ10" s="145" t="e">
        <f>AX10-AY10</f>
        <v>#REF!</v>
      </c>
      <c r="BA10" s="16">
        <f t="shared" si="6"/>
        <v>3</v>
      </c>
      <c r="BB10" s="145" t="str">
        <f>IF($BA10&gt;=$BA11,$AS10,$AS11)</f>
        <v>2e Poule F</v>
      </c>
      <c r="BC10" s="145">
        <f>VLOOKUP($BB10,$AS8:$BA11,9,FALSE)</f>
        <v>3</v>
      </c>
      <c r="BD10" s="145" t="str">
        <f>IF($BC10&lt;=$BC8,$BB10,$BB8)</f>
        <v>2e Poule F</v>
      </c>
      <c r="BE10" s="145">
        <f>VLOOKUP($BD10,$AS8:$BA11,9,FALSE)</f>
        <v>3</v>
      </c>
      <c r="BF10" s="145" t="str">
        <f>IF($BE10&lt;=$BE9,$BD10,$BD9)</f>
        <v>De Torpedo's</v>
      </c>
      <c r="BG10" s="145">
        <f>VLOOKUP($BF10,$AS8:$BA11,9,FALSE)</f>
        <v>0</v>
      </c>
      <c r="BH10" s="145" t="e">
        <f>VLOOKUP($BF10,$AS8:$BA11,8,FALSE)</f>
        <v>#REF!</v>
      </c>
      <c r="BI10" s="145" t="e">
        <f>IF(AND($BG10=$BG11,$BH11&gt;$BH10),$BF11,$BF10)</f>
        <v>#REF!</v>
      </c>
      <c r="BJ10" s="145" t="e">
        <f>VLOOKUP($BI10,$AS8:$BA11,9,FALSE)</f>
        <v>#REF!</v>
      </c>
      <c r="BK10" s="145" t="e">
        <f>VLOOKUP($BI10,$AS8:$BA11,8,FALSE)</f>
        <v>#REF!</v>
      </c>
      <c r="BL10" s="145" t="e">
        <f>IF(AND($BJ8=$BJ10,$BK10&gt;$BK8),$BI8,$BI10)</f>
        <v>#REF!</v>
      </c>
      <c r="BM10" s="145" t="e">
        <f>VLOOKUP($BL10,$AS8:$BA11,9,FALSE)</f>
        <v>#REF!</v>
      </c>
      <c r="BN10" s="145" t="e">
        <f>VLOOKUP($BL10,$AS8:$BA11,8,FALSE)</f>
        <v>#REF!</v>
      </c>
      <c r="BO10" s="145" t="e">
        <f>IF(AND($BM9=$BM10,$BN10&gt;$BN9),$BL9,$BL10)</f>
        <v>#REF!</v>
      </c>
      <c r="BP10" s="145" t="e">
        <f>VLOOKUP($BO10,$AS8:$BA11,9,FALSE)</f>
        <v>#REF!</v>
      </c>
      <c r="BQ10" s="145" t="e">
        <f>VLOOKUP($BO10,$AS8:$BA11,8,FALSE)</f>
        <v>#REF!</v>
      </c>
      <c r="BR10" s="145" t="e">
        <f>VLOOKUP($BO10,$AS8:$BA11,6,FALSE)</f>
        <v>#REF!</v>
      </c>
      <c r="BS10" s="145" t="e">
        <f>IF(AND($BP10=$BP11,$BQ10=$BQ11,$BR11&gt;$BR10),$BO11,$BO10)</f>
        <v>#REF!</v>
      </c>
      <c r="BT10" s="145" t="e">
        <f>VLOOKUP($BS10,$AS8:$BA11,9,FALSE)</f>
        <v>#REF!</v>
      </c>
      <c r="BU10" s="145" t="e">
        <f>VLOOKUP($BS10,$AS8:$BA11,8,FALSE)</f>
        <v>#REF!</v>
      </c>
      <c r="BV10" s="145" t="e">
        <f>VLOOKUP($BS10,$AS8:$BA11,6,FALSE)</f>
        <v>#REF!</v>
      </c>
      <c r="BW10" s="145" t="e">
        <f>IF(AND($BT8=$BT10,$BU8=$BU10,$BV9&gt;$BV8),$BS8,$BS10)</f>
        <v>#REF!</v>
      </c>
      <c r="BX10" s="145" t="e">
        <f>VLOOKUP($BW10,$AS8:$BA11,9,FALSE)</f>
        <v>#REF!</v>
      </c>
      <c r="BY10" s="145" t="e">
        <f>VLOOKUP($BW10,$AS8:$BA11,8,FALSE)</f>
        <v>#REF!</v>
      </c>
      <c r="BZ10" s="145" t="e">
        <f>VLOOKUP($BW10,$AS8:$BA11,6,FALSE)</f>
        <v>#REF!</v>
      </c>
      <c r="CA10" s="145" t="e">
        <f>IF(AND($BX9=$BX10,$BY9=$BY10,$BZ10&gt;$BZ9),$BW9,$BW10)</f>
        <v>#REF!</v>
      </c>
      <c r="CB10" s="145" t="e">
        <f>VLOOKUP($CA10,$AS8:$BA11,9,FALSE)</f>
        <v>#REF!</v>
      </c>
      <c r="CC10" s="145" t="e">
        <f>VLOOKUP($CA10,$AS8:$BA11,8,FALSE)</f>
        <v>#REF!</v>
      </c>
      <c r="CD10" s="145" t="e">
        <f>VLOOKUP($CA10,$AS8:$BA11,6,FALSE)</f>
        <v>#REF!</v>
      </c>
      <c r="CH10" s="145" t="e">
        <f>CA10</f>
        <v>#REF!</v>
      </c>
      <c r="CI10" s="145" t="e">
        <f>VLOOKUP($CH10,$AS8:$BA11,2,FALSE)</f>
        <v>#REF!</v>
      </c>
      <c r="CJ10" s="145" t="e">
        <f>VLOOKUP($CH10,$AS8:$BA11,3,FALSE)</f>
        <v>#REF!</v>
      </c>
      <c r="CK10" s="145" t="e">
        <f>VLOOKUP($CH10,$AS8:$BA11,4,FALSE)</f>
        <v>#REF!</v>
      </c>
      <c r="CL10" s="145" t="e">
        <f>VLOOKUP($CH10,$AS8:$BA11,5,FALSE)</f>
        <v>#REF!</v>
      </c>
      <c r="CM10" s="145" t="e">
        <f>VLOOKUP($CH10,$AS8:$BA11,6,FALSE)</f>
        <v>#REF!</v>
      </c>
      <c r="CN10" s="145" t="e">
        <f>VLOOKUP($CH10,$AS8:$BA11,7,FALSE)</f>
        <v>#REF!</v>
      </c>
      <c r="CO10" s="145" t="e">
        <f>VLOOKUP($CH10,$AS8:$BA11,8,FALSE)</f>
        <v>#REF!</v>
      </c>
      <c r="CP10" s="145" t="e">
        <f>VLOOKUP($CH10,$AS8:$BA11,9,FALSE)</f>
        <v>#REF!</v>
      </c>
      <c r="CR10" s="146" t="e">
        <f>#REF!</f>
        <v>#REF!</v>
      </c>
    </row>
    <row r="11" spans="1:96" ht="12.95" customHeight="1" thickBot="1" x14ac:dyDescent="0.25">
      <c r="A11" s="520">
        <f>START!C14</f>
        <v>0.5625</v>
      </c>
      <c r="B11" s="518"/>
      <c r="C11" s="283"/>
      <c r="D11" s="337" t="str">
        <f>AS8</f>
        <v>De Torpedo's</v>
      </c>
      <c r="E11" s="283" t="s">
        <v>16</v>
      </c>
      <c r="F11" s="518" t="str">
        <f>AS9</f>
        <v>De Doofpot</v>
      </c>
      <c r="G11" s="518"/>
      <c r="H11" s="518"/>
      <c r="I11" s="165" t="str">
        <f>KWALIFICATIE!AD83</f>
        <v>…</v>
      </c>
      <c r="J11" s="334" t="s">
        <v>16</v>
      </c>
      <c r="K11" s="166" t="str">
        <f>KWALIFICATIE!AF83</f>
        <v>…</v>
      </c>
      <c r="L11" s="518"/>
      <c r="M11" s="518"/>
      <c r="N11" s="518"/>
      <c r="O11" s="518"/>
      <c r="P11" s="519"/>
      <c r="Q11" s="118"/>
      <c r="R11" s="520">
        <f>START!C14</f>
        <v>0.5625</v>
      </c>
      <c r="S11" s="518"/>
      <c r="T11" s="283"/>
      <c r="U11" s="337" t="str">
        <f>AS15</f>
        <v>Team Bombert</v>
      </c>
      <c r="V11" s="283" t="s">
        <v>16</v>
      </c>
      <c r="W11" s="518" t="str">
        <f>AS16</f>
        <v>FC Vondelpark</v>
      </c>
      <c r="X11" s="518"/>
      <c r="Y11" s="518"/>
      <c r="Z11" s="165" t="str">
        <f>KWALIFICATIE!AD84</f>
        <v>…</v>
      </c>
      <c r="AA11" s="334" t="s">
        <v>16</v>
      </c>
      <c r="AB11" s="166" t="str">
        <f>KWALIFICATIE!AF84</f>
        <v>…</v>
      </c>
      <c r="AC11" s="518"/>
      <c r="AD11" s="518"/>
      <c r="AE11" s="518"/>
      <c r="AF11" s="518"/>
      <c r="AG11" s="519"/>
      <c r="AH11" s="69" t="s">
        <v>146</v>
      </c>
      <c r="AI11" s="70" t="s">
        <v>147</v>
      </c>
      <c r="AJ11" s="70">
        <f>Z43</f>
        <v>6</v>
      </c>
      <c r="AK11" s="232">
        <f>AB43</f>
        <v>0</v>
      </c>
      <c r="AL11" s="73" t="s">
        <v>148</v>
      </c>
      <c r="AM11" s="50" t="s">
        <v>149</v>
      </c>
      <c r="AN11" s="44" t="s">
        <v>127</v>
      </c>
      <c r="AO11" s="45" t="str">
        <f t="shared" si="4"/>
        <v>England</v>
      </c>
      <c r="AP11" s="45" t="str">
        <f t="shared" si="5"/>
        <v>Sweden</v>
      </c>
      <c r="AQ11" s="45"/>
      <c r="AS11" s="16" t="str">
        <f>EINDRONDE!D11</f>
        <v>1e Beste nrs. 3</v>
      </c>
      <c r="AT11" s="16">
        <f>COUNT(Denmark_Played)</f>
        <v>1</v>
      </c>
      <c r="AU11" s="16">
        <f>COUNTIF(Groupstage_Winners,"Denmark")</f>
        <v>0</v>
      </c>
      <c r="AV11" s="16">
        <f>COUNTIF(Groupstage_Losers,"Denmark")</f>
        <v>1</v>
      </c>
      <c r="AW11" s="16">
        <f>AT11-(AU11+AV11)</f>
        <v>0</v>
      </c>
      <c r="AX11" s="16" t="e">
        <f>SUM(Denmark_Played)</f>
        <v>#REF!</v>
      </c>
      <c r="AY11" s="16" t="e">
        <f>SUM(Denmark_Against)</f>
        <v>#REF!</v>
      </c>
      <c r="AZ11" s="16" t="e">
        <f>AX11-AY11</f>
        <v>#REF!</v>
      </c>
      <c r="BA11" s="16">
        <f t="shared" si="6"/>
        <v>0</v>
      </c>
      <c r="BB11" s="16" t="str">
        <f>IF($BA11&lt;=$BA10,$AS11,$AS10)</f>
        <v>1e Beste nrs. 3</v>
      </c>
      <c r="BC11" s="16">
        <f>VLOOKUP($BB11,$AS8:$BA11,9,FALSE)</f>
        <v>0</v>
      </c>
      <c r="BD11" s="16" t="str">
        <f>IF(BC11&lt;=BC9,BB11,BB9)</f>
        <v>1e Beste nrs. 3</v>
      </c>
      <c r="BE11" s="16">
        <f>VLOOKUP($BD11,$AS8:$BA11,9,FALSE)</f>
        <v>0</v>
      </c>
      <c r="BF11" s="16" t="str">
        <f>IF($BE11&lt;=$BE8,$BD11,$BD8)</f>
        <v>1e Beste nrs. 3</v>
      </c>
      <c r="BG11" s="16">
        <f>VLOOKUP($BF11,$AS8:$BA11,9,FALSE)</f>
        <v>0</v>
      </c>
      <c r="BH11" s="16" t="e">
        <f>VLOOKUP($BF11,$AS8:$BA11,8,FALSE)</f>
        <v>#REF!</v>
      </c>
      <c r="BI11" s="16" t="e">
        <f>IF(AND($BG10=$BG11,$BH11&gt;$BH10),$BF10,$BF11)</f>
        <v>#REF!</v>
      </c>
      <c r="BJ11" s="16" t="e">
        <f>VLOOKUP($BI11,$AS8:$BA11,9,FALSE)</f>
        <v>#REF!</v>
      </c>
      <c r="BK11" s="16" t="e">
        <f>VLOOKUP($BI11,$AS8:$BA11,8,FALSE)</f>
        <v>#REF!</v>
      </c>
      <c r="BL11" s="16" t="e">
        <f>IF(AND($BJ9=$BJ11,$BK11&gt;$BK9),$BI9,$BI11)</f>
        <v>#REF!</v>
      </c>
      <c r="BM11" s="16" t="e">
        <f>VLOOKUP($BL11,$AS8:$BA11,9,FALSE)</f>
        <v>#REF!</v>
      </c>
      <c r="BN11" s="16" t="e">
        <f>VLOOKUP($BL11,$AS8:$BA11,8,FALSE)</f>
        <v>#REF!</v>
      </c>
      <c r="BO11" s="16" t="e">
        <f>IF(AND($BM8=$BM11,$BN11&gt;$BN8),$BL8,$BL11)</f>
        <v>#REF!</v>
      </c>
      <c r="BP11" s="16" t="e">
        <f>VLOOKUP($BO11,$AS8:$BA11,9,FALSE)</f>
        <v>#REF!</v>
      </c>
      <c r="BQ11" s="16" t="e">
        <f>VLOOKUP($BO11,$AS8:$BA11,8,FALSE)</f>
        <v>#REF!</v>
      </c>
      <c r="BR11" s="16" t="e">
        <f>VLOOKUP($BO11,$AS8:$BA11,6,FALSE)</f>
        <v>#REF!</v>
      </c>
      <c r="BS11" s="16" t="e">
        <f>IF(AND($BP10=$BP11,$BQ10=$BQ11,$BR11&gt;$BR10),$BO10,$BO11)</f>
        <v>#REF!</v>
      </c>
      <c r="BT11" s="16" t="e">
        <f>VLOOKUP($BS11,$AS8:$BA11,9,FALSE)</f>
        <v>#REF!</v>
      </c>
      <c r="BU11" s="16" t="e">
        <f>VLOOKUP($BS11,$AS8:$BA11,8,FALSE)</f>
        <v>#REF!</v>
      </c>
      <c r="BV11" s="16" t="e">
        <f>VLOOKUP($BS11,$AS8:$BA11,6,FALSE)</f>
        <v>#REF!</v>
      </c>
      <c r="BW11" s="16" t="e">
        <f>IF(AND($BT9=$BT11,$BU9=$BU11,$BV11&gt;$BV9),$BS9,$BS11)</f>
        <v>#REF!</v>
      </c>
      <c r="BX11" s="16" t="e">
        <f>VLOOKUP($BW11,$AS8:$BA11,9,FALSE)</f>
        <v>#REF!</v>
      </c>
      <c r="BY11" s="16" t="e">
        <f>VLOOKUP($BW11,$AS8:$BA11,8,FALSE)</f>
        <v>#REF!</v>
      </c>
      <c r="BZ11" s="16" t="e">
        <f>VLOOKUP($BW11,$AS8:$BA11,6,FALSE)</f>
        <v>#REF!</v>
      </c>
      <c r="CA11" s="16" t="e">
        <f>IF(AND($BX8=$BX11,$BY8=$BY11,$BZ11&gt;$BZ8),$BW8,$BW11)</f>
        <v>#REF!</v>
      </c>
      <c r="CB11" s="16" t="e">
        <f>VLOOKUP($CA11,$AS8:$BA11,9,FALSE)</f>
        <v>#REF!</v>
      </c>
      <c r="CC11" s="16" t="e">
        <f>VLOOKUP($CA11,$AS8:$BA11,8,FALSE)</f>
        <v>#REF!</v>
      </c>
      <c r="CD11" s="16" t="e">
        <f>VLOOKUP($CA11,$AS8:$BA11,6,FALSE)</f>
        <v>#REF!</v>
      </c>
      <c r="CH11" s="16" t="e">
        <f>CA11</f>
        <v>#REF!</v>
      </c>
      <c r="CI11" s="16" t="e">
        <f>VLOOKUP($CH11,$AS8:$BA11,2,FALSE)</f>
        <v>#REF!</v>
      </c>
      <c r="CJ11" s="16" t="e">
        <f>VLOOKUP($CH11,$AS8:$BA11,3,FALSE)</f>
        <v>#REF!</v>
      </c>
      <c r="CK11" s="16" t="e">
        <f>VLOOKUP($CH11,$AS8:$BA11,4,FALSE)</f>
        <v>#REF!</v>
      </c>
      <c r="CL11" s="16" t="e">
        <f>VLOOKUP($CH11,$AS8:$BA11,5,FALSE)</f>
        <v>#REF!</v>
      </c>
      <c r="CM11" s="16" t="e">
        <f>VLOOKUP($CH11,$AS8:$BA11,6,FALSE)</f>
        <v>#REF!</v>
      </c>
      <c r="CN11" s="16" t="e">
        <f>VLOOKUP($CH11,$AS8:$BA11,7,FALSE)</f>
        <v>#REF!</v>
      </c>
      <c r="CO11" s="16" t="e">
        <f>VLOOKUP($CH11,$AS8:$BA11,8,FALSE)</f>
        <v>#REF!</v>
      </c>
      <c r="CP11" s="16" t="e">
        <f>VLOOKUP($CH11,$AS8:$BA11,9,FALSE)</f>
        <v>#REF!</v>
      </c>
      <c r="CR11" s="21" t="e">
        <f>#REF!</f>
        <v>#REF!</v>
      </c>
    </row>
    <row r="12" spans="1:96" ht="12.95" customHeight="1" thickBot="1" x14ac:dyDescent="0.25">
      <c r="A12" s="520">
        <f>START!C15</f>
        <v>0.57291666666666663</v>
      </c>
      <c r="B12" s="518"/>
      <c r="C12" s="283"/>
      <c r="D12" s="24" t="str">
        <f>AS10</f>
        <v>2e Poule F</v>
      </c>
      <c r="E12" s="283" t="s">
        <v>16</v>
      </c>
      <c r="F12" s="518" t="str">
        <f>AS11</f>
        <v>1e Beste nrs. 3</v>
      </c>
      <c r="G12" s="518"/>
      <c r="H12" s="518"/>
      <c r="I12" s="165" t="str">
        <f>KWALIFICATIE!AD91</f>
        <v>…</v>
      </c>
      <c r="J12" s="334" t="s">
        <v>16</v>
      </c>
      <c r="K12" s="166" t="str">
        <f>KWALIFICATIE!AF91</f>
        <v>…</v>
      </c>
      <c r="L12" s="518"/>
      <c r="M12" s="518"/>
      <c r="N12" s="518"/>
      <c r="O12" s="518"/>
      <c r="P12" s="519"/>
      <c r="Q12" s="118"/>
      <c r="R12" s="520">
        <f>R11</f>
        <v>0.5625</v>
      </c>
      <c r="S12" s="518"/>
      <c r="T12" s="283"/>
      <c r="U12" s="24" t="e">
        <f>AS17</f>
        <v>#REF!</v>
      </c>
      <c r="V12" s="283" t="s">
        <v>16</v>
      </c>
      <c r="W12" s="518" t="str">
        <f>AS18</f>
        <v>4e Beste nrs. 3</v>
      </c>
      <c r="X12" s="518"/>
      <c r="Y12" s="518"/>
      <c r="Z12" s="165" t="str">
        <f>KWALIFICATIE!AD85</f>
        <v>…</v>
      </c>
      <c r="AA12" s="334" t="s">
        <v>16</v>
      </c>
      <c r="AB12" s="166" t="str">
        <f>KWALIFICATIE!AF85</f>
        <v>…</v>
      </c>
      <c r="AC12" s="518"/>
      <c r="AD12" s="518"/>
      <c r="AE12" s="518"/>
      <c r="AF12" s="518"/>
      <c r="AG12" s="519"/>
      <c r="AH12" s="69" t="s">
        <v>150</v>
      </c>
      <c r="AI12" s="70" t="s">
        <v>151</v>
      </c>
      <c r="AJ12" s="70" t="str">
        <f>Z12</f>
        <v>…</v>
      </c>
      <c r="AK12" s="232" t="str">
        <f>AB12</f>
        <v>…</v>
      </c>
      <c r="AL12" s="73" t="s">
        <v>152</v>
      </c>
      <c r="AM12" s="50" t="s">
        <v>153</v>
      </c>
      <c r="AN12" s="44" t="s">
        <v>154</v>
      </c>
      <c r="AO12" s="45" t="str">
        <f t="shared" si="4"/>
        <v>Draw</v>
      </c>
      <c r="AP12" s="45" t="str">
        <f t="shared" si="5"/>
        <v>Draw</v>
      </c>
      <c r="AQ12" s="45"/>
      <c r="CR12" s="21" t="e">
        <f>#REF!</f>
        <v>#REF!</v>
      </c>
    </row>
    <row r="13" spans="1:96" ht="12.95" customHeight="1" thickBot="1" x14ac:dyDescent="0.25">
      <c r="A13" s="520">
        <f>START!C17</f>
        <v>0.59375</v>
      </c>
      <c r="B13" s="518"/>
      <c r="C13" s="283"/>
      <c r="D13" s="24" t="str">
        <f>AS8</f>
        <v>De Torpedo's</v>
      </c>
      <c r="E13" s="283" t="s">
        <v>16</v>
      </c>
      <c r="F13" s="518" t="str">
        <f>AS10</f>
        <v>2e Poule F</v>
      </c>
      <c r="G13" s="518"/>
      <c r="H13" s="518"/>
      <c r="I13" s="165">
        <f>EINDRONDE!AD37</f>
        <v>0</v>
      </c>
      <c r="J13" s="334" t="s">
        <v>16</v>
      </c>
      <c r="K13" s="166">
        <f>EINDRONDE!AF37</f>
        <v>2</v>
      </c>
      <c r="L13" s="518"/>
      <c r="M13" s="518"/>
      <c r="N13" s="518"/>
      <c r="O13" s="518"/>
      <c r="P13" s="519"/>
      <c r="Q13" s="118"/>
      <c r="R13" s="520">
        <f>START!C18</f>
        <v>0.60416666666666663</v>
      </c>
      <c r="S13" s="518"/>
      <c r="T13" s="283"/>
      <c r="U13" s="24" t="str">
        <f>AS15</f>
        <v>Team Bombert</v>
      </c>
      <c r="V13" s="283" t="s">
        <v>16</v>
      </c>
      <c r="W13" s="518" t="e">
        <f>AS17</f>
        <v>#REF!</v>
      </c>
      <c r="X13" s="518"/>
      <c r="Y13" s="518"/>
      <c r="Z13" s="165">
        <f>EINDRONDE!AD39</f>
        <v>0</v>
      </c>
      <c r="AA13" s="334" t="s">
        <v>16</v>
      </c>
      <c r="AB13" s="166">
        <f>EINDRONDE!AF39</f>
        <v>0</v>
      </c>
      <c r="AC13" s="518"/>
      <c r="AD13" s="518"/>
      <c r="AE13" s="518"/>
      <c r="AF13" s="518"/>
      <c r="AG13" s="519"/>
      <c r="AH13" s="69" t="s">
        <v>155</v>
      </c>
      <c r="AI13" s="70" t="s">
        <v>156</v>
      </c>
      <c r="AJ13" s="70">
        <f>Z42</f>
        <v>0</v>
      </c>
      <c r="AK13" s="232">
        <f>AB42</f>
        <v>2</v>
      </c>
      <c r="AL13" s="73" t="s">
        <v>157</v>
      </c>
      <c r="AM13" s="50" t="s">
        <v>158</v>
      </c>
      <c r="AN13" s="44" t="s">
        <v>127</v>
      </c>
      <c r="AO13" s="45" t="str">
        <f t="shared" si="4"/>
        <v>Nigeria</v>
      </c>
      <c r="AP13" s="45" t="str">
        <f t="shared" si="5"/>
        <v>Argentina</v>
      </c>
      <c r="AQ13" s="45"/>
      <c r="AS13" s="16" t="s">
        <v>159</v>
      </c>
      <c r="CR13" s="21" t="e">
        <f>#REF!</f>
        <v>#REF!</v>
      </c>
    </row>
    <row r="14" spans="1:96" ht="12.95" customHeight="1" thickBot="1" x14ac:dyDescent="0.25">
      <c r="A14" s="520">
        <f>A13</f>
        <v>0.59375</v>
      </c>
      <c r="B14" s="518"/>
      <c r="C14" s="283"/>
      <c r="D14" s="24" t="str">
        <f>AS11</f>
        <v>1e Beste nrs. 3</v>
      </c>
      <c r="E14" s="283" t="s">
        <v>16</v>
      </c>
      <c r="F14" s="518" t="str">
        <f>AS9</f>
        <v>De Doofpot</v>
      </c>
      <c r="G14" s="518"/>
      <c r="H14" s="518"/>
      <c r="I14" s="165">
        <f>EINDRONDE!AD38</f>
        <v>0</v>
      </c>
      <c r="J14" s="334" t="s">
        <v>16</v>
      </c>
      <c r="K14" s="166">
        <f>EINDRONDE!AF38</f>
        <v>1</v>
      </c>
      <c r="L14" s="518"/>
      <c r="M14" s="518"/>
      <c r="N14" s="518"/>
      <c r="O14" s="518"/>
      <c r="P14" s="519"/>
      <c r="Q14" s="118"/>
      <c r="R14" s="520">
        <f>R13</f>
        <v>0.60416666666666663</v>
      </c>
      <c r="S14" s="518"/>
      <c r="T14" s="283"/>
      <c r="U14" s="24" t="str">
        <f>AS18</f>
        <v>4e Beste nrs. 3</v>
      </c>
      <c r="V14" s="283" t="s">
        <v>16</v>
      </c>
      <c r="W14" s="518" t="str">
        <f>AS16</f>
        <v>FC Vondelpark</v>
      </c>
      <c r="X14" s="518"/>
      <c r="Y14" s="518"/>
      <c r="Z14" s="165">
        <f>EINDRONDE!AD40</f>
        <v>0</v>
      </c>
      <c r="AA14" s="334" t="s">
        <v>16</v>
      </c>
      <c r="AB14" s="166">
        <f>EINDRONDE!AF40</f>
        <v>0</v>
      </c>
      <c r="AC14" s="518"/>
      <c r="AD14" s="518"/>
      <c r="AE14" s="518"/>
      <c r="AF14" s="518"/>
      <c r="AG14" s="519"/>
      <c r="AH14" s="69" t="s">
        <v>160</v>
      </c>
      <c r="AI14" s="70" t="s">
        <v>161</v>
      </c>
      <c r="AJ14" s="70" t="str">
        <f>Z11</f>
        <v>…</v>
      </c>
      <c r="AK14" s="232" t="str">
        <f>AB11</f>
        <v>…</v>
      </c>
      <c r="AL14" s="73" t="s">
        <v>162</v>
      </c>
      <c r="AM14" s="50" t="s">
        <v>163</v>
      </c>
      <c r="AN14" s="44" t="s">
        <v>154</v>
      </c>
      <c r="AO14" s="45" t="str">
        <f t="shared" si="4"/>
        <v>Draw</v>
      </c>
      <c r="AP14" s="45" t="str">
        <f t="shared" si="5"/>
        <v>Draw</v>
      </c>
      <c r="AQ14" s="45"/>
      <c r="AT14" s="16" t="s">
        <v>124</v>
      </c>
      <c r="AU14" s="16" t="s">
        <v>110</v>
      </c>
      <c r="AV14" s="16" t="s">
        <v>125</v>
      </c>
      <c r="AW14" s="16" t="s">
        <v>126</v>
      </c>
      <c r="AX14" s="16" t="s">
        <v>127</v>
      </c>
      <c r="AY14" s="16" t="s">
        <v>123</v>
      </c>
      <c r="AZ14" s="16" t="s">
        <v>128</v>
      </c>
      <c r="BA14" s="16" t="s">
        <v>129</v>
      </c>
      <c r="CR14" s="21" t="e">
        <f>#REF!</f>
        <v>#REF!</v>
      </c>
    </row>
    <row r="15" spans="1:96" ht="12.95" customHeight="1" thickBot="1" x14ac:dyDescent="0.25">
      <c r="A15" s="520">
        <f>START!C21</f>
        <v>0.63541666666666663</v>
      </c>
      <c r="B15" s="518"/>
      <c r="C15" s="283"/>
      <c r="D15" s="24" t="str">
        <f>AS9</f>
        <v>De Doofpot</v>
      </c>
      <c r="E15" s="283" t="s">
        <v>16</v>
      </c>
      <c r="F15" s="518" t="str">
        <f>AS10</f>
        <v>2e Poule F</v>
      </c>
      <c r="G15" s="518"/>
      <c r="H15" s="518"/>
      <c r="I15" s="165" t="e">
        <f>EINDRONDE!#REF!</f>
        <v>#REF!</v>
      </c>
      <c r="J15" s="334" t="s">
        <v>16</v>
      </c>
      <c r="K15" s="166" t="e">
        <f>EINDRONDE!#REF!</f>
        <v>#REF!</v>
      </c>
      <c r="L15" s="518"/>
      <c r="M15" s="518"/>
      <c r="N15" s="518"/>
      <c r="O15" s="518"/>
      <c r="P15" s="519"/>
      <c r="Q15" s="118"/>
      <c r="R15" s="520">
        <f>START!C21</f>
        <v>0.63541666666666663</v>
      </c>
      <c r="S15" s="518"/>
      <c r="T15" s="283"/>
      <c r="U15" s="24" t="str">
        <f>AS16</f>
        <v>FC Vondelpark</v>
      </c>
      <c r="V15" s="283" t="s">
        <v>16</v>
      </c>
      <c r="W15" s="518" t="e">
        <f>AS17</f>
        <v>#REF!</v>
      </c>
      <c r="X15" s="518"/>
      <c r="Y15" s="518"/>
      <c r="Z15" s="165" t="e">
        <f>EINDRONDE!#REF!</f>
        <v>#REF!</v>
      </c>
      <c r="AA15" s="334" t="s">
        <v>16</v>
      </c>
      <c r="AB15" s="166" t="e">
        <f>EINDRONDE!#REF!</f>
        <v>#REF!</v>
      </c>
      <c r="AC15" s="518"/>
      <c r="AD15" s="518"/>
      <c r="AE15" s="518"/>
      <c r="AF15" s="518"/>
      <c r="AG15" s="519"/>
      <c r="AH15" s="69" t="s">
        <v>164</v>
      </c>
      <c r="AI15" s="70" t="s">
        <v>165</v>
      </c>
      <c r="AJ15" s="70">
        <f>I58</f>
        <v>0</v>
      </c>
      <c r="AK15" s="232">
        <f>K58</f>
        <v>0</v>
      </c>
      <c r="AL15" s="73" t="s">
        <v>166</v>
      </c>
      <c r="AM15" s="50" t="s">
        <v>167</v>
      </c>
      <c r="AN15" s="44" t="s">
        <v>111</v>
      </c>
      <c r="AO15" s="45" t="str">
        <f t="shared" si="4"/>
        <v>Draw</v>
      </c>
      <c r="AP15" s="45" t="str">
        <f t="shared" si="5"/>
        <v>Draw</v>
      </c>
      <c r="AQ15" s="45"/>
      <c r="AS15" s="16" t="str">
        <f>EINDRONDE!J8</f>
        <v>Team Bombert</v>
      </c>
      <c r="AT15" s="16">
        <f>COUNT(Spain_Played)</f>
        <v>1</v>
      </c>
      <c r="AU15" s="16">
        <f>COUNTIF(Groupstage_Winners,"Spain")</f>
        <v>0</v>
      </c>
      <c r="AV15" s="16">
        <f>COUNTIF(Groupstage_Losers,"Spain")</f>
        <v>0</v>
      </c>
      <c r="AW15" s="16">
        <f>AT15-(AU15+AV15)</f>
        <v>1</v>
      </c>
      <c r="AX15" s="16" t="e">
        <f>SUM(Spain_Played)</f>
        <v>#REF!</v>
      </c>
      <c r="AY15" s="16" t="e">
        <f>SUM(Spain_Against)</f>
        <v>#REF!</v>
      </c>
      <c r="AZ15" s="16" t="e">
        <f>AX15-AY15</f>
        <v>#REF!</v>
      </c>
      <c r="BA15" s="16">
        <f>SUM((AU15*3)+(AW15*1))</f>
        <v>1</v>
      </c>
      <c r="BB15" s="16" t="str">
        <f>IF($BA15&gt;=$BA16,$AS15,$AS16)</f>
        <v>Team Bombert</v>
      </c>
      <c r="BC15" s="16">
        <f>VLOOKUP($BB15,$AS15:$BA18,9,FALSE)</f>
        <v>1</v>
      </c>
      <c r="BD15" s="16" t="e">
        <f>IF($BC15&gt;=$BC17,$BB15,$BB17)</f>
        <v>#REF!</v>
      </c>
      <c r="BE15" s="16" t="e">
        <f>VLOOKUP($BD15,$AS15:$BA18,9,FALSE)</f>
        <v>#REF!</v>
      </c>
      <c r="BF15" s="16" t="e">
        <f>IF($BE15&gt;=$BE18,$BD15,$BD18)</f>
        <v>#REF!</v>
      </c>
      <c r="BG15" s="16" t="e">
        <f>VLOOKUP($BF15,$AS15:$BA18,9,FALSE)</f>
        <v>#REF!</v>
      </c>
      <c r="BH15" s="16" t="e">
        <f>VLOOKUP($BF15,$AS15:$BA18,8,FALSE)</f>
        <v>#REF!</v>
      </c>
      <c r="BI15" s="16" t="e">
        <f>IF(AND($BG15=$BG16,$BH16&gt;$BH15),$BF16,$BF15)</f>
        <v>#REF!</v>
      </c>
      <c r="BJ15" s="16" t="e">
        <f>VLOOKUP($BI15,$AS15:$BA18,9,FALSE)</f>
        <v>#REF!</v>
      </c>
      <c r="BK15" s="16" t="e">
        <f>VLOOKUP($BI15,$AS15:$BA18,8,FALSE)</f>
        <v>#REF!</v>
      </c>
      <c r="BL15" s="16" t="e">
        <f>IF(AND($BJ15=$BJ17,$BK17&gt;$BK15),$BI17,$BI15)</f>
        <v>#REF!</v>
      </c>
      <c r="BM15" s="16" t="e">
        <f>VLOOKUP($BL15,$AS15:$BA18,9,FALSE)</f>
        <v>#REF!</v>
      </c>
      <c r="BN15" s="16" t="e">
        <f>VLOOKUP($BL15,$AS15:$BA18,8,FALSE)</f>
        <v>#REF!</v>
      </c>
      <c r="BO15" s="16" t="e">
        <f>IF(AND($BM15=$BM18,$BN18&gt;$BN15),$BL18,$BL15)</f>
        <v>#REF!</v>
      </c>
      <c r="BP15" s="16" t="e">
        <f>VLOOKUP($BO15,$AS15:$BA18,9,FALSE)</f>
        <v>#REF!</v>
      </c>
      <c r="BQ15" s="16" t="e">
        <f>VLOOKUP($BO15,$AS15:$BA18,8,FALSE)</f>
        <v>#REF!</v>
      </c>
      <c r="BR15" s="16" t="e">
        <f>VLOOKUP($BO15,$AS15:$BA18,6,FALSE)</f>
        <v>#REF!</v>
      </c>
      <c r="BS15" s="16" t="e">
        <f>IF(AND($BP15=$BP16,$BQ15=$BQ16,$BR16&gt;$BR15),$BO16,$BO15)</f>
        <v>#REF!</v>
      </c>
      <c r="BT15" s="16" t="e">
        <f>VLOOKUP($BS15,$AS15:$BA18,9,FALSE)</f>
        <v>#REF!</v>
      </c>
      <c r="BU15" s="16" t="e">
        <f>VLOOKUP($BS15,$AS15:$BA18,8,FALSE)</f>
        <v>#REF!</v>
      </c>
      <c r="BV15" s="16" t="e">
        <f>VLOOKUP($BS15,$AS15:$BA18,6,FALSE)</f>
        <v>#REF!</v>
      </c>
      <c r="BW15" s="16" t="e">
        <f>IF(AND($BT15=$BT17,$BU15=$BU17,$BV17&gt;$BV15),$BS17,$BS15)</f>
        <v>#REF!</v>
      </c>
      <c r="BX15" s="16" t="e">
        <f>VLOOKUP($BW15,$AS15:$BA18,9,FALSE)</f>
        <v>#REF!</v>
      </c>
      <c r="BY15" s="16" t="e">
        <f>VLOOKUP($BW15,$AS15:$BA18,8,FALSE)</f>
        <v>#REF!</v>
      </c>
      <c r="BZ15" s="16" t="e">
        <f>VLOOKUP($BW15,$AS15:$BA18,6,FALSE)</f>
        <v>#REF!</v>
      </c>
      <c r="CA15" s="16" t="e">
        <f>IF(AND($BX15=$BX18,$BY15=$BY18,$BZ18&gt;$BZ15),$BW18,$BW15)</f>
        <v>#REF!</v>
      </c>
      <c r="CB15" s="16" t="e">
        <f>VLOOKUP($CA15,$AS15:$BA18,9,FALSE)</f>
        <v>#REF!</v>
      </c>
      <c r="CC15" s="16" t="e">
        <f>VLOOKUP($CA15,$AS15:$BA18,8,FALSE)</f>
        <v>#REF!</v>
      </c>
      <c r="CD15" s="16" t="e">
        <f>VLOOKUP($CA15,$AS15:$BA18,6,FALSE)</f>
        <v>#REF!</v>
      </c>
      <c r="CH15" s="16" t="e">
        <f>CA15</f>
        <v>#REF!</v>
      </c>
      <c r="CI15" s="16" t="e">
        <f>VLOOKUP($CH15,$AS15:$BA18,2,FALSE)</f>
        <v>#REF!</v>
      </c>
      <c r="CJ15" s="16" t="e">
        <f>VLOOKUP($CH15,$AS15:$BA18,3,FALSE)</f>
        <v>#REF!</v>
      </c>
      <c r="CK15" s="16" t="e">
        <f>VLOOKUP($CH15,$AS15:$BA18,4,FALSE)</f>
        <v>#REF!</v>
      </c>
      <c r="CL15" s="16" t="e">
        <f>VLOOKUP($CH15,$AS15:$BA18,5,FALSE)</f>
        <v>#REF!</v>
      </c>
      <c r="CM15" s="16" t="e">
        <f>VLOOKUP($CH15,$AS15:$BA18,6,FALSE)</f>
        <v>#REF!</v>
      </c>
      <c r="CN15" s="16" t="e">
        <f>VLOOKUP($CH15,$AS15:$BA18,7,FALSE)</f>
        <v>#REF!</v>
      </c>
      <c r="CO15" s="16" t="e">
        <f>VLOOKUP($CH15,$AS15:$BA18,8,FALSE)</f>
        <v>#REF!</v>
      </c>
      <c r="CP15" s="16" t="e">
        <f>VLOOKUP($CH15,$AS15:$BA18,9,FALSE)</f>
        <v>#REF!</v>
      </c>
      <c r="CR15" s="21" t="e">
        <f>#REF!</f>
        <v>#REF!</v>
      </c>
    </row>
    <row r="16" spans="1:96" ht="12.95" customHeight="1" thickBot="1" x14ac:dyDescent="0.25">
      <c r="A16" s="528">
        <f>A15</f>
        <v>0.63541666666666663</v>
      </c>
      <c r="B16" s="529"/>
      <c r="C16" s="272"/>
      <c r="D16" s="30" t="str">
        <f>AS11</f>
        <v>1e Beste nrs. 3</v>
      </c>
      <c r="E16" s="272" t="s">
        <v>16</v>
      </c>
      <c r="F16" s="529" t="str">
        <f>AS8</f>
        <v>De Torpedo's</v>
      </c>
      <c r="G16" s="529"/>
      <c r="H16" s="529"/>
      <c r="I16" s="248" t="e">
        <f>EINDRONDE!#REF!</f>
        <v>#REF!</v>
      </c>
      <c r="J16" s="247" t="s">
        <v>16</v>
      </c>
      <c r="K16" s="249" t="e">
        <f>EINDRONDE!#REF!</f>
        <v>#REF!</v>
      </c>
      <c r="L16" s="529"/>
      <c r="M16" s="529"/>
      <c r="N16" s="529"/>
      <c r="O16" s="529"/>
      <c r="P16" s="530"/>
      <c r="Q16" s="118"/>
      <c r="R16" s="528">
        <f>R15</f>
        <v>0.63541666666666663</v>
      </c>
      <c r="S16" s="529"/>
      <c r="T16" s="272"/>
      <c r="U16" s="30" t="str">
        <f>AS18</f>
        <v>4e Beste nrs. 3</v>
      </c>
      <c r="V16" s="272" t="s">
        <v>16</v>
      </c>
      <c r="W16" s="529" t="str">
        <f>AS15</f>
        <v>Team Bombert</v>
      </c>
      <c r="X16" s="529"/>
      <c r="Y16" s="529"/>
      <c r="Z16" s="248" t="e">
        <f>EINDRONDE!#REF!</f>
        <v>#REF!</v>
      </c>
      <c r="AA16" s="247" t="s">
        <v>16</v>
      </c>
      <c r="AB16" s="249" t="e">
        <f>EINDRONDE!#REF!</f>
        <v>#REF!</v>
      </c>
      <c r="AC16" s="529"/>
      <c r="AD16" s="529"/>
      <c r="AE16" s="529"/>
      <c r="AF16" s="529"/>
      <c r="AG16" s="530"/>
      <c r="AH16" s="69" t="s">
        <v>168</v>
      </c>
      <c r="AI16" s="70" t="s">
        <v>169</v>
      </c>
      <c r="AJ16" s="70" t="str">
        <f>I26</f>
        <v>…</v>
      </c>
      <c r="AK16" s="232" t="str">
        <f>K26</f>
        <v>…</v>
      </c>
      <c r="AL16" s="73" t="s">
        <v>170</v>
      </c>
      <c r="AM16" s="50" t="s">
        <v>171</v>
      </c>
      <c r="AN16" s="44" t="s">
        <v>172</v>
      </c>
      <c r="AO16" s="45" t="str">
        <f t="shared" si="4"/>
        <v>Draw</v>
      </c>
      <c r="AP16" s="45" t="str">
        <f t="shared" si="5"/>
        <v>Draw</v>
      </c>
      <c r="AQ16" s="45"/>
      <c r="AS16" s="16" t="str">
        <f>EINDRONDE!J9</f>
        <v>FC Vondelpark</v>
      </c>
      <c r="AT16" s="16">
        <f>COUNT(Slovenia_Played)</f>
        <v>1</v>
      </c>
      <c r="AU16" s="16">
        <f>COUNTIF(Groupstage_Winners,"Slovenia")</f>
        <v>0</v>
      </c>
      <c r="AV16" s="16">
        <f>COUNTIF(Groupstage_Losers,"Slovenia")</f>
        <v>0</v>
      </c>
      <c r="AW16" s="16">
        <f>AT16-(AU16+AV16)</f>
        <v>1</v>
      </c>
      <c r="AX16" s="16" t="e">
        <f>SUM(Slovenia_Played)</f>
        <v>#REF!</v>
      </c>
      <c r="AY16" s="16" t="e">
        <f>SUM(Slovenia_Against)</f>
        <v>#REF!</v>
      </c>
      <c r="AZ16" s="16" t="e">
        <f>AX16-AY16</f>
        <v>#REF!</v>
      </c>
      <c r="BA16" s="16">
        <f t="shared" ref="BA16:BA18" si="7">SUM((AU16*3)+(AW16*1))</f>
        <v>1</v>
      </c>
      <c r="BB16" s="16" t="str">
        <f>IF($BA16&lt;=$BA15,$AS16,$AS15)</f>
        <v>FC Vondelpark</v>
      </c>
      <c r="BC16" s="16">
        <f>VLOOKUP($BB16,$AS15:$BA18,9,FALSE)</f>
        <v>1</v>
      </c>
      <c r="BD16" s="16" t="str">
        <f>IF(BC16&gt;=BC18,BB16,BB18)</f>
        <v>FC Vondelpark</v>
      </c>
      <c r="BE16" s="16">
        <f>VLOOKUP($BD16,$AS15:$BA18,9,FALSE)</f>
        <v>1</v>
      </c>
      <c r="BF16" s="16" t="e">
        <f>IF($BE16&gt;=$BE17,$BD16,$BD17)</f>
        <v>#REF!</v>
      </c>
      <c r="BG16" s="16" t="e">
        <f>VLOOKUP($BF16,$AS15:$BA18,9,FALSE)</f>
        <v>#REF!</v>
      </c>
      <c r="BH16" s="16" t="e">
        <f>VLOOKUP($BF16,$AS15:$BA18,8,FALSE)</f>
        <v>#REF!</v>
      </c>
      <c r="BI16" s="16" t="e">
        <f>IF(AND($BG15=$BG16,$BH16&gt;$BH15),$BF15,$BF16)</f>
        <v>#REF!</v>
      </c>
      <c r="BJ16" s="16" t="e">
        <f>VLOOKUP($BI16,$AS15:$BA18,9,FALSE)</f>
        <v>#REF!</v>
      </c>
      <c r="BK16" s="16" t="e">
        <f>VLOOKUP($BI16,$AS15:$BA18,8,FALSE)</f>
        <v>#REF!</v>
      </c>
      <c r="BL16" s="16" t="e">
        <f>IF(AND($BJ16=$BJ18,$BK18&gt;$BK16),$BI18,$BI16)</f>
        <v>#REF!</v>
      </c>
      <c r="BM16" s="16" t="e">
        <f>VLOOKUP($BL16,$AS15:$BA18,9,FALSE)</f>
        <v>#REF!</v>
      </c>
      <c r="BN16" s="16" t="e">
        <f>VLOOKUP($BL16,$AS15:$BA18,8,FALSE)</f>
        <v>#REF!</v>
      </c>
      <c r="BO16" s="16" t="e">
        <f>IF(AND($BM16=$BM17,$BN17&gt;$BN16),$BL17,$BL16)</f>
        <v>#REF!</v>
      </c>
      <c r="BP16" s="16" t="e">
        <f>VLOOKUP($BO16,$AS15:$BA18,9,FALSE)</f>
        <v>#REF!</v>
      </c>
      <c r="BQ16" s="16" t="e">
        <f>VLOOKUP($BO16,$AS15:$BA18,8,FALSE)</f>
        <v>#REF!</v>
      </c>
      <c r="BR16" s="16" t="e">
        <f>VLOOKUP($BO16,$AS15:$BA18,6,FALSE)</f>
        <v>#REF!</v>
      </c>
      <c r="BS16" s="16" t="e">
        <f>IF(AND($BP15=$BP16,$BQ15=$BQ16,$BR16&gt;$BR15),$BO15,$BO16)</f>
        <v>#REF!</v>
      </c>
      <c r="BT16" s="16" t="e">
        <f>VLOOKUP($BS16,$AS15:$BA18,9,FALSE)</f>
        <v>#REF!</v>
      </c>
      <c r="BU16" s="16" t="e">
        <f>VLOOKUP($BS16,$AS15:$BA18,8,FALSE)</f>
        <v>#REF!</v>
      </c>
      <c r="BV16" s="16" t="e">
        <f>VLOOKUP($BS16,$AS15:$BA18,6,FALSE)</f>
        <v>#REF!</v>
      </c>
      <c r="BW16" s="16" t="e">
        <f>IF(AND($BT16=$BT18,$BU16=$BU18,$BV18&gt;$BV16),$BS18,$BS16)</f>
        <v>#REF!</v>
      </c>
      <c r="BX16" s="16" t="e">
        <f>VLOOKUP($BW16,$AS15:$BA18,9,FALSE)</f>
        <v>#REF!</v>
      </c>
      <c r="BY16" s="16" t="e">
        <f>VLOOKUP($BW16,$AS15:$BA18,8,FALSE)</f>
        <v>#REF!</v>
      </c>
      <c r="BZ16" s="16" t="e">
        <f>VLOOKUP($BW16,$AS15:$BA18,6,FALSE)</f>
        <v>#REF!</v>
      </c>
      <c r="CA16" s="16" t="e">
        <f>IF(AND($BX16=$BX17,$BY16=$BY17,$BZ17&gt;$BZ16),$BW17,$BW16)</f>
        <v>#REF!</v>
      </c>
      <c r="CB16" s="16" t="e">
        <f>VLOOKUP($CA16,$AS15:$BA18,9,FALSE)</f>
        <v>#REF!</v>
      </c>
      <c r="CC16" s="16" t="e">
        <f>VLOOKUP($CA16,$AS15:$BA18,8,FALSE)</f>
        <v>#REF!</v>
      </c>
      <c r="CD16" s="16" t="e">
        <f>VLOOKUP($CA16,$AS15:$BA18,6,FALSE)</f>
        <v>#REF!</v>
      </c>
      <c r="CH16" s="16" t="e">
        <f>CA16</f>
        <v>#REF!</v>
      </c>
      <c r="CI16" s="16" t="e">
        <f>VLOOKUP($CH16,$AS15:$BA18,2,FALSE)</f>
        <v>#REF!</v>
      </c>
      <c r="CJ16" s="16" t="e">
        <f>VLOOKUP($CH16,$AS15:$BA18,3,FALSE)</f>
        <v>#REF!</v>
      </c>
      <c r="CK16" s="16" t="e">
        <f>VLOOKUP($CH16,$AS15:$BA18,4,FALSE)</f>
        <v>#REF!</v>
      </c>
      <c r="CL16" s="16" t="e">
        <f>VLOOKUP($CH16,$AS15:$BA18,5,FALSE)</f>
        <v>#REF!</v>
      </c>
      <c r="CM16" s="16" t="e">
        <f>VLOOKUP($CH16,$AS15:$BA18,6,FALSE)</f>
        <v>#REF!</v>
      </c>
      <c r="CN16" s="16" t="e">
        <f>VLOOKUP($CH16,$AS15:$BA18,7,FALSE)</f>
        <v>#REF!</v>
      </c>
      <c r="CO16" s="16" t="e">
        <f>VLOOKUP($CH16,$AS15:$BA18,8,FALSE)</f>
        <v>#REF!</v>
      </c>
      <c r="CP16" s="16" t="e">
        <f>VLOOKUP($CH16,$AS15:$BA18,9,FALSE)</f>
        <v>#REF!</v>
      </c>
      <c r="CR16" s="21" t="e">
        <f>#REF!</f>
        <v>#REF!</v>
      </c>
    </row>
    <row r="17" spans="1:96" ht="13.5" thickBot="1" x14ac:dyDescent="0.25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83"/>
      <c r="AH17" s="69" t="s">
        <v>173</v>
      </c>
      <c r="AI17" s="70" t="s">
        <v>174</v>
      </c>
      <c r="AJ17" s="70">
        <f>I57</f>
        <v>0</v>
      </c>
      <c r="AK17" s="232">
        <f>K57</f>
        <v>0</v>
      </c>
      <c r="AL17" s="73" t="s">
        <v>175</v>
      </c>
      <c r="AM17" s="52" t="s">
        <v>176</v>
      </c>
      <c r="AN17" s="44" t="s">
        <v>111</v>
      </c>
      <c r="AO17" s="45" t="str">
        <f t="shared" si="4"/>
        <v>Draw</v>
      </c>
      <c r="AP17" s="45" t="str">
        <f t="shared" si="5"/>
        <v>Draw</v>
      </c>
      <c r="AQ17" s="45"/>
      <c r="AS17" s="16" t="e">
        <f>EINDRONDE!J10</f>
        <v>#REF!</v>
      </c>
      <c r="AT17" s="16">
        <f>COUNT(Paraguay_Played)</f>
        <v>1</v>
      </c>
      <c r="AU17" s="16">
        <f>COUNTIF(Groupstage_Winners,"Paraguay")</f>
        <v>0</v>
      </c>
      <c r="AV17" s="16">
        <f>COUNTIF(Groupstage_Losers,"Paraguay")</f>
        <v>0</v>
      </c>
      <c r="AW17" s="16">
        <f>AT17-(AU17+AV17)</f>
        <v>1</v>
      </c>
      <c r="AX17" s="16" t="e">
        <f>SUM(Paraguay_Played)</f>
        <v>#REF!</v>
      </c>
      <c r="AY17" s="16" t="e">
        <f>SUM(Paraguay_Against)</f>
        <v>#REF!</v>
      </c>
      <c r="AZ17" s="16" t="e">
        <f>AX17-AY17</f>
        <v>#REF!</v>
      </c>
      <c r="BA17" s="16">
        <f t="shared" si="7"/>
        <v>1</v>
      </c>
      <c r="BB17" s="16" t="e">
        <f>IF($BA17&gt;=$BA18,$AS17,$AS18)</f>
        <v>#REF!</v>
      </c>
      <c r="BC17" s="16" t="e">
        <f>VLOOKUP($BB17,$AS15:$BA18,9,FALSE)</f>
        <v>#REF!</v>
      </c>
      <c r="BD17" s="16" t="e">
        <f>IF($BC17&lt;=$BC15,$BB17,$BB15)</f>
        <v>#REF!</v>
      </c>
      <c r="BE17" s="16" t="e">
        <f>VLOOKUP($BD17,$AS15:$BA18,9,FALSE)</f>
        <v>#REF!</v>
      </c>
      <c r="BF17" s="16" t="e">
        <f>IF($BE17&lt;=$BE16,$BD17,$BD16)</f>
        <v>#REF!</v>
      </c>
      <c r="BG17" s="16" t="e">
        <f>VLOOKUP($BF17,$AS15:$BA18,9,FALSE)</f>
        <v>#REF!</v>
      </c>
      <c r="BH17" s="16" t="e">
        <f>VLOOKUP($BF17,$AS15:$BA18,8,FALSE)</f>
        <v>#REF!</v>
      </c>
      <c r="BI17" s="16" t="e">
        <f>IF(AND($BG17=$BG18,$BH18&gt;$BH17),$BF18,$BF17)</f>
        <v>#REF!</v>
      </c>
      <c r="BJ17" s="16" t="e">
        <f>VLOOKUP($BI17,$AS15:$BA18,9,FALSE)</f>
        <v>#REF!</v>
      </c>
      <c r="BK17" s="16" t="e">
        <f>VLOOKUP($BI17,$AS15:$BA18,8,FALSE)</f>
        <v>#REF!</v>
      </c>
      <c r="BL17" s="16" t="e">
        <f>IF(AND($BJ15=$BJ17,$BK17&gt;$BK15),$BI15,$BI17)</f>
        <v>#REF!</v>
      </c>
      <c r="BM17" s="16" t="e">
        <f>VLOOKUP($BL17,$AS15:$BA18,9,FALSE)</f>
        <v>#REF!</v>
      </c>
      <c r="BN17" s="16" t="e">
        <f>VLOOKUP($BL17,$AS15:$BA18,8,FALSE)</f>
        <v>#REF!</v>
      </c>
      <c r="BO17" s="16" t="e">
        <f>IF(AND($BM16=$BM17,$BN17&gt;$BN16),$BL16,$BL17)</f>
        <v>#REF!</v>
      </c>
      <c r="BP17" s="16" t="e">
        <f>VLOOKUP($BO17,$AS15:$BA18,9,FALSE)</f>
        <v>#REF!</v>
      </c>
      <c r="BQ17" s="16" t="e">
        <f>VLOOKUP($BO17,$AS15:$BA18,8,FALSE)</f>
        <v>#REF!</v>
      </c>
      <c r="BR17" s="16" t="e">
        <f>VLOOKUP($BO17,$AS15:$BA18,6,FALSE)</f>
        <v>#REF!</v>
      </c>
      <c r="BS17" s="16" t="e">
        <f>IF(AND($BP17=$BP18,$BQ17=$BQ18,$BR18&gt;$BR17),$BO18,$BO17)</f>
        <v>#REF!</v>
      </c>
      <c r="BT17" s="16" t="e">
        <f>VLOOKUP($BS17,$AS15:$BA18,9,FALSE)</f>
        <v>#REF!</v>
      </c>
      <c r="BU17" s="16" t="e">
        <f>VLOOKUP($BS17,$AS15:$BA18,8,FALSE)</f>
        <v>#REF!</v>
      </c>
      <c r="BV17" s="16" t="e">
        <f>VLOOKUP($BS17,$AS15:$BA18,6,FALSE)</f>
        <v>#REF!</v>
      </c>
      <c r="BW17" s="16" t="e">
        <f>IF(AND($BT15=$BT17,$BU15=$BU17,$BV16&gt;$BV15),$BS15,$BS17)</f>
        <v>#REF!</v>
      </c>
      <c r="BX17" s="16" t="e">
        <f>VLOOKUP($BW17,$AS15:$BA18,9,FALSE)</f>
        <v>#REF!</v>
      </c>
      <c r="BY17" s="16" t="e">
        <f>VLOOKUP($BW17,$AS15:$BA18,8,FALSE)</f>
        <v>#REF!</v>
      </c>
      <c r="BZ17" s="16" t="e">
        <f>VLOOKUP($BW17,$AS15:$BA18,6,FALSE)</f>
        <v>#REF!</v>
      </c>
      <c r="CA17" s="16" t="e">
        <f>IF(AND($BX16=$BX17,$BY16=$BY17,$BZ17&gt;$BZ16),$BW16,$BW17)</f>
        <v>#REF!</v>
      </c>
      <c r="CB17" s="16" t="e">
        <f>VLOOKUP($CA17,$AS15:$BA18,9,FALSE)</f>
        <v>#REF!</v>
      </c>
      <c r="CC17" s="16" t="e">
        <f>VLOOKUP($CA17,$AS15:$BA18,8,FALSE)</f>
        <v>#REF!</v>
      </c>
      <c r="CD17" s="16" t="e">
        <f>VLOOKUP($CA17,$AS15:$BA18,6,FALSE)</f>
        <v>#REF!</v>
      </c>
      <c r="CH17" s="16" t="e">
        <f>CA17</f>
        <v>#REF!</v>
      </c>
      <c r="CI17" s="16" t="e">
        <f>VLOOKUP($CH17,$AS15:$BA18,2,FALSE)</f>
        <v>#REF!</v>
      </c>
      <c r="CJ17" s="16" t="e">
        <f>VLOOKUP($CH17,$AS15:$BA18,3,FALSE)</f>
        <v>#REF!</v>
      </c>
      <c r="CK17" s="16" t="e">
        <f>VLOOKUP($CH17,$AS15:$BA18,4,FALSE)</f>
        <v>#REF!</v>
      </c>
      <c r="CL17" s="16" t="e">
        <f>VLOOKUP($CH17,$AS15:$BA18,5,FALSE)</f>
        <v>#REF!</v>
      </c>
      <c r="CM17" s="16" t="e">
        <f>VLOOKUP($CH17,$AS15:$BA18,6,FALSE)</f>
        <v>#REF!</v>
      </c>
      <c r="CN17" s="16" t="e">
        <f>VLOOKUP($CH17,$AS15:$BA18,7,FALSE)</f>
        <v>#REF!</v>
      </c>
      <c r="CO17" s="16" t="e">
        <f>VLOOKUP($CH17,$AS15:$BA18,8,FALSE)</f>
        <v>#REF!</v>
      </c>
      <c r="CP17" s="16" t="e">
        <f>VLOOKUP($CH17,$AS15:$BA18,9,FALSE)</f>
        <v>#REF!</v>
      </c>
      <c r="CR17" s="21" t="e">
        <f>#REF!</f>
        <v>#REF!</v>
      </c>
    </row>
    <row r="18" spans="1:96" ht="18.75" thickBot="1" x14ac:dyDescent="0.3">
      <c r="A18" s="536" t="s">
        <v>224</v>
      </c>
      <c r="B18" s="534"/>
      <c r="C18" s="534"/>
      <c r="D18" s="534"/>
      <c r="E18" s="534"/>
      <c r="F18" s="534"/>
      <c r="G18" s="534"/>
      <c r="H18" s="534"/>
      <c r="I18" s="534"/>
      <c r="J18" s="534"/>
      <c r="K18" s="534"/>
      <c r="L18" s="534"/>
      <c r="M18" s="534"/>
      <c r="N18" s="534"/>
      <c r="O18" s="534"/>
      <c r="P18" s="535"/>
      <c r="R18" s="523" t="s">
        <v>225</v>
      </c>
      <c r="S18" s="524"/>
      <c r="T18" s="524"/>
      <c r="U18" s="524"/>
      <c r="V18" s="524"/>
      <c r="W18" s="524"/>
      <c r="X18" s="524"/>
      <c r="Y18" s="524"/>
      <c r="Z18" s="524"/>
      <c r="AA18" s="524"/>
      <c r="AB18" s="524"/>
      <c r="AC18" s="524"/>
      <c r="AD18" s="524"/>
      <c r="AE18" s="524"/>
      <c r="AF18" s="524"/>
      <c r="AG18" s="525"/>
      <c r="AH18" s="70" t="s">
        <v>177</v>
      </c>
      <c r="AI18" s="70" t="s">
        <v>178</v>
      </c>
      <c r="AJ18" s="70">
        <f>I27</f>
        <v>1</v>
      </c>
      <c r="AK18" s="232">
        <f>K27</f>
        <v>1</v>
      </c>
      <c r="AL18" s="73" t="s">
        <v>179</v>
      </c>
      <c r="AM18" s="51" t="s">
        <v>180</v>
      </c>
      <c r="AN18" s="44" t="s">
        <v>172</v>
      </c>
      <c r="AO18" s="45" t="str">
        <f t="shared" si="4"/>
        <v>Draw</v>
      </c>
      <c r="AP18" s="45" t="str">
        <f t="shared" si="5"/>
        <v>Draw</v>
      </c>
      <c r="AQ18" s="45"/>
      <c r="AS18" s="16" t="str">
        <f>EINDRONDE!J11</f>
        <v>4e Beste nrs. 3</v>
      </c>
      <c r="AT18" s="16">
        <f>COUNT(South_Africa_Played)</f>
        <v>1</v>
      </c>
      <c r="AU18" s="16">
        <f>COUNTIF(Groupstage_Winners,"South Africa")</f>
        <v>0</v>
      </c>
      <c r="AV18" s="16">
        <f>COUNTIF(Groupstage_Losers,"South Africa")</f>
        <v>0</v>
      </c>
      <c r="AW18" s="16">
        <f>AT18-(AU18+AV18)</f>
        <v>1</v>
      </c>
      <c r="AX18" s="16" t="e">
        <f>SUM(South_Africa_Played)</f>
        <v>#REF!</v>
      </c>
      <c r="AY18" s="16" t="e">
        <f>SUM(South_Africa_Against)</f>
        <v>#REF!</v>
      </c>
      <c r="AZ18" s="16" t="e">
        <f>AX18-AY18</f>
        <v>#REF!</v>
      </c>
      <c r="BA18" s="16">
        <f t="shared" si="7"/>
        <v>1</v>
      </c>
      <c r="BB18" s="16" t="str">
        <f>IF($BA18&lt;=$BA17,$AS18,$AS17)</f>
        <v>4e Beste nrs. 3</v>
      </c>
      <c r="BC18" s="16">
        <f>VLOOKUP($BB18,$AS15:$BA18,9,FALSE)</f>
        <v>1</v>
      </c>
      <c r="BD18" s="16" t="str">
        <f>IF(BC18&lt;=BC16,BB18,BB16)</f>
        <v>4e Beste nrs. 3</v>
      </c>
      <c r="BE18" s="16">
        <f>VLOOKUP($BD18,$AS15:$BA18,9,FALSE)</f>
        <v>1</v>
      </c>
      <c r="BF18" s="16" t="e">
        <f>IF($BE18&lt;=$BE15,$BD18,$BD15)</f>
        <v>#REF!</v>
      </c>
      <c r="BG18" s="16" t="e">
        <f>VLOOKUP($BF18,$AS15:$BA18,9,FALSE)</f>
        <v>#REF!</v>
      </c>
      <c r="BH18" s="16" t="e">
        <f>VLOOKUP($BF18,$AS15:$BA18,8,FALSE)</f>
        <v>#REF!</v>
      </c>
      <c r="BI18" s="16" t="e">
        <f>IF(AND($BG17=$BG18,$BH18&gt;$BH17),$BF17,$BF18)</f>
        <v>#REF!</v>
      </c>
      <c r="BJ18" s="16" t="e">
        <f>VLOOKUP($BI18,$AS15:$BA18,9,FALSE)</f>
        <v>#REF!</v>
      </c>
      <c r="BK18" s="16" t="e">
        <f>VLOOKUP($BI18,$AS15:$BA18,8,FALSE)</f>
        <v>#REF!</v>
      </c>
      <c r="BL18" s="16" t="e">
        <f>IF(AND($BJ16=$BJ18,$BK18&gt;$BK16),$BI16,$BI18)</f>
        <v>#REF!</v>
      </c>
      <c r="BM18" s="16" t="e">
        <f>VLOOKUP($BL18,$AS15:$BA18,9,FALSE)</f>
        <v>#REF!</v>
      </c>
      <c r="BN18" s="16" t="e">
        <f>VLOOKUP($BL18,$AS15:$BA18,8,FALSE)</f>
        <v>#REF!</v>
      </c>
      <c r="BO18" s="16" t="e">
        <f>IF(AND($BM15=$BM18,$BN18&gt;$BN15),$BL15,$BL18)</f>
        <v>#REF!</v>
      </c>
      <c r="BP18" s="16" t="e">
        <f>VLOOKUP($BO18,$AS15:$BA18,9,FALSE)</f>
        <v>#REF!</v>
      </c>
      <c r="BQ18" s="16" t="e">
        <f>VLOOKUP($BO18,$AS15:$BA18,8,FALSE)</f>
        <v>#REF!</v>
      </c>
      <c r="BR18" s="16" t="e">
        <f>VLOOKUP($BO18,$AS15:$BA18,6,FALSE)</f>
        <v>#REF!</v>
      </c>
      <c r="BS18" s="16" t="e">
        <f>IF(AND($BP17=$BP18,$BQ17=$BQ18,$BR18&gt;$BR17),$BO17,$BO18)</f>
        <v>#REF!</v>
      </c>
      <c r="BT18" s="16" t="e">
        <f>VLOOKUP($BS18,$AS15:$BA18,9,FALSE)</f>
        <v>#REF!</v>
      </c>
      <c r="BU18" s="16" t="e">
        <f>VLOOKUP($BS18,$AS15:$BA18,8,FALSE)</f>
        <v>#REF!</v>
      </c>
      <c r="BV18" s="16" t="e">
        <f>VLOOKUP($BS18,$AS15:$BA18,6,FALSE)</f>
        <v>#REF!</v>
      </c>
      <c r="BW18" s="16" t="e">
        <f>IF(AND($BT16=$BT18,$BU16=$BU18,$BV18&gt;$BV16),$BS16,$BS18)</f>
        <v>#REF!</v>
      </c>
      <c r="BX18" s="16" t="e">
        <f>VLOOKUP($BW18,$AS15:$BA18,9,FALSE)</f>
        <v>#REF!</v>
      </c>
      <c r="BY18" s="16" t="e">
        <f>VLOOKUP($BW18,$AS15:$BA18,8,FALSE)</f>
        <v>#REF!</v>
      </c>
      <c r="BZ18" s="16" t="e">
        <f>VLOOKUP($BW18,$AS15:$BA18,6,FALSE)</f>
        <v>#REF!</v>
      </c>
      <c r="CA18" s="16" t="e">
        <f>IF(AND($BX15=$BX18,$BY15=$BY18,$BZ18&gt;$BZ15),$BW15,$BW18)</f>
        <v>#REF!</v>
      </c>
      <c r="CB18" s="16" t="e">
        <f>VLOOKUP($CA18,$AS15:$BA18,9,FALSE)</f>
        <v>#REF!</v>
      </c>
      <c r="CC18" s="16" t="e">
        <f>VLOOKUP($CA18,$AS15:$BA18,8,FALSE)</f>
        <v>#REF!</v>
      </c>
      <c r="CD18" s="16" t="e">
        <f>VLOOKUP($CA18,$AS15:$BA18,6,FALSE)</f>
        <v>#REF!</v>
      </c>
      <c r="CH18" s="16" t="e">
        <f>CA18</f>
        <v>#REF!</v>
      </c>
      <c r="CI18" s="16" t="e">
        <f>VLOOKUP($CH18,$AS15:$BA18,2,FALSE)</f>
        <v>#REF!</v>
      </c>
      <c r="CJ18" s="16" t="e">
        <f>VLOOKUP($CH18,$AS15:$BA18,3,FALSE)</f>
        <v>#REF!</v>
      </c>
      <c r="CK18" s="16" t="e">
        <f>VLOOKUP($CH18,$AS15:$BA18,4,FALSE)</f>
        <v>#REF!</v>
      </c>
      <c r="CL18" s="16" t="e">
        <f>VLOOKUP($CH18,$AS15:$BA18,5,FALSE)</f>
        <v>#REF!</v>
      </c>
      <c r="CM18" s="16" t="e">
        <f>VLOOKUP($CH18,$AS15:$BA18,6,FALSE)</f>
        <v>#REF!</v>
      </c>
      <c r="CN18" s="16" t="e">
        <f>VLOOKUP($CH18,$AS15:$BA18,7,FALSE)</f>
        <v>#REF!</v>
      </c>
      <c r="CO18" s="16" t="e">
        <f>VLOOKUP($CH18,$AS15:$BA18,8,FALSE)</f>
        <v>#REF!</v>
      </c>
      <c r="CP18" s="16" t="e">
        <f>VLOOKUP($CH18,$AS15:$BA18,9,FALSE)</f>
        <v>#REF!</v>
      </c>
      <c r="CR18" s="21" t="e">
        <f>#REF!</f>
        <v>#REF!</v>
      </c>
    </row>
    <row r="19" spans="1:96" ht="12.95" customHeight="1" thickBot="1" x14ac:dyDescent="0.25">
      <c r="A19" s="28"/>
      <c r="B19" s="26"/>
      <c r="C19" s="26"/>
      <c r="D19" s="26"/>
      <c r="E19" s="26"/>
      <c r="F19" s="26"/>
      <c r="G19" s="340" t="s">
        <v>109</v>
      </c>
      <c r="H19" s="340" t="s">
        <v>110</v>
      </c>
      <c r="I19" s="340" t="s">
        <v>111</v>
      </c>
      <c r="J19" s="531" t="s">
        <v>112</v>
      </c>
      <c r="K19" s="531"/>
      <c r="L19" s="531" t="s">
        <v>113</v>
      </c>
      <c r="M19" s="531"/>
      <c r="N19" s="531"/>
      <c r="O19" s="338" t="str">
        <f>T("+/-")</f>
        <v>+/-</v>
      </c>
      <c r="P19" s="245" t="s">
        <v>114</v>
      </c>
      <c r="R19" s="28"/>
      <c r="X19" s="338" t="s">
        <v>109</v>
      </c>
      <c r="Y19" s="338" t="s">
        <v>110</v>
      </c>
      <c r="Z19" s="338" t="s">
        <v>111</v>
      </c>
      <c r="AA19" s="522" t="s">
        <v>112</v>
      </c>
      <c r="AB19" s="522"/>
      <c r="AC19" s="522" t="s">
        <v>113</v>
      </c>
      <c r="AD19" s="522"/>
      <c r="AE19" s="522"/>
      <c r="AF19" s="338" t="str">
        <f>T("+/-")</f>
        <v>+/-</v>
      </c>
      <c r="AG19" s="245" t="s">
        <v>114</v>
      </c>
      <c r="AH19" s="69" t="s">
        <v>181</v>
      </c>
      <c r="AI19" s="70" t="s">
        <v>182</v>
      </c>
      <c r="AJ19" s="70">
        <f>Z57</f>
        <v>0</v>
      </c>
      <c r="AK19" s="232">
        <f>AB57</f>
        <v>0</v>
      </c>
      <c r="AL19" s="73" t="s">
        <v>183</v>
      </c>
      <c r="AM19" s="50" t="s">
        <v>184</v>
      </c>
      <c r="AN19" s="44" t="s">
        <v>185</v>
      </c>
      <c r="AO19" s="45" t="str">
        <f t="shared" si="4"/>
        <v>Draw</v>
      </c>
      <c r="AP19" s="45" t="str">
        <f t="shared" si="5"/>
        <v>Draw</v>
      </c>
      <c r="AQ19" s="45"/>
      <c r="CR19" s="21" t="e">
        <f>#REF!</f>
        <v>#REF!</v>
      </c>
    </row>
    <row r="20" spans="1:96" ht="12.95" customHeight="1" thickBot="1" x14ac:dyDescent="0.25">
      <c r="A20" s="516" t="s">
        <v>220</v>
      </c>
      <c r="B20" s="517"/>
      <c r="C20" s="118" t="e">
        <f>CH22</f>
        <v>#REF!</v>
      </c>
      <c r="D20" s="118"/>
      <c r="E20" s="118"/>
      <c r="F20" s="118"/>
      <c r="G20" s="334" t="e">
        <f t="shared" ref="G20:H23" si="8">CI22</f>
        <v>#REF!</v>
      </c>
      <c r="H20" s="334" t="e">
        <f t="shared" si="8"/>
        <v>#REF!</v>
      </c>
      <c r="I20" s="334" t="e">
        <f>CL22</f>
        <v>#REF!</v>
      </c>
      <c r="J20" s="513" t="e">
        <f>CK22</f>
        <v>#REF!</v>
      </c>
      <c r="K20" s="513"/>
      <c r="L20" s="167" t="e">
        <f>CM22</f>
        <v>#REF!</v>
      </c>
      <c r="M20" s="334" t="s">
        <v>16</v>
      </c>
      <c r="N20" s="282" t="e">
        <f t="shared" ref="N20:O23" si="9">CN22</f>
        <v>#REF!</v>
      </c>
      <c r="O20" s="334" t="e">
        <f t="shared" si="9"/>
        <v>#REF!</v>
      </c>
      <c r="P20" s="306" t="e">
        <f>SUM(H20*3+I20*1)</f>
        <v>#REF!</v>
      </c>
      <c r="Q20" s="167"/>
      <c r="R20" s="516" t="s">
        <v>220</v>
      </c>
      <c r="S20" s="517"/>
      <c r="T20" s="118" t="e">
        <f>CH29</f>
        <v>#REF!</v>
      </c>
      <c r="U20" s="118"/>
      <c r="V20" s="118"/>
      <c r="W20" s="118"/>
      <c r="X20" s="334" t="e">
        <f t="shared" ref="X20:Y22" si="10">CI29</f>
        <v>#REF!</v>
      </c>
      <c r="Y20" s="334" t="e">
        <f t="shared" si="10"/>
        <v>#REF!</v>
      </c>
      <c r="Z20" s="334" t="e">
        <f>CL29</f>
        <v>#REF!</v>
      </c>
      <c r="AA20" s="513" t="e">
        <f>CK29</f>
        <v>#REF!</v>
      </c>
      <c r="AB20" s="513"/>
      <c r="AC20" s="167" t="e">
        <f>CM29</f>
        <v>#REF!</v>
      </c>
      <c r="AD20" s="334" t="s">
        <v>16</v>
      </c>
      <c r="AE20" s="282" t="e">
        <f t="shared" ref="AE20:AF22" si="11">CN29</f>
        <v>#REF!</v>
      </c>
      <c r="AF20" s="334" t="e">
        <f t="shared" si="11"/>
        <v>#REF!</v>
      </c>
      <c r="AG20" s="306" t="e">
        <f>SUM(Y20*3+Z20*1)</f>
        <v>#REF!</v>
      </c>
      <c r="AH20" s="70" t="s">
        <v>187</v>
      </c>
      <c r="AI20" s="70" t="s">
        <v>188</v>
      </c>
      <c r="AJ20" s="70" t="str">
        <f>Z26</f>
        <v>…</v>
      </c>
      <c r="AK20" s="232" t="str">
        <f>AB26</f>
        <v>…</v>
      </c>
      <c r="AL20" s="73" t="s">
        <v>189</v>
      </c>
      <c r="AM20" s="51" t="s">
        <v>190</v>
      </c>
      <c r="AN20" s="44" t="s">
        <v>126</v>
      </c>
      <c r="AO20" s="45" t="str">
        <f t="shared" si="4"/>
        <v>Draw</v>
      </c>
      <c r="AP20" s="45" t="str">
        <f t="shared" si="5"/>
        <v>Draw</v>
      </c>
      <c r="AQ20" s="45"/>
      <c r="AS20" s="16" t="s">
        <v>191</v>
      </c>
      <c r="CR20" s="21" t="e">
        <f>#REF!</f>
        <v>#REF!</v>
      </c>
    </row>
    <row r="21" spans="1:96" ht="12.95" customHeight="1" thickBot="1" x14ac:dyDescent="0.25">
      <c r="A21" s="516" t="s">
        <v>221</v>
      </c>
      <c r="B21" s="517"/>
      <c r="C21" s="118" t="e">
        <f>CH23</f>
        <v>#REF!</v>
      </c>
      <c r="D21" s="118"/>
      <c r="E21" s="118"/>
      <c r="F21" s="118"/>
      <c r="G21" s="334" t="e">
        <f t="shared" si="8"/>
        <v>#REF!</v>
      </c>
      <c r="H21" s="334" t="e">
        <f t="shared" si="8"/>
        <v>#REF!</v>
      </c>
      <c r="I21" s="334" t="e">
        <f>CL23</f>
        <v>#REF!</v>
      </c>
      <c r="J21" s="513" t="e">
        <f>CK23</f>
        <v>#REF!</v>
      </c>
      <c r="K21" s="513"/>
      <c r="L21" s="167" t="e">
        <f>CM23</f>
        <v>#REF!</v>
      </c>
      <c r="M21" s="334" t="s">
        <v>16</v>
      </c>
      <c r="N21" s="282" t="e">
        <f t="shared" si="9"/>
        <v>#REF!</v>
      </c>
      <c r="O21" s="334" t="e">
        <f t="shared" si="9"/>
        <v>#REF!</v>
      </c>
      <c r="P21" s="306" t="e">
        <f>SUM(H21*3+I21*1)</f>
        <v>#REF!</v>
      </c>
      <c r="Q21" s="167"/>
      <c r="R21" s="516" t="s">
        <v>221</v>
      </c>
      <c r="S21" s="517"/>
      <c r="T21" s="118" t="e">
        <f>CH30</f>
        <v>#REF!</v>
      </c>
      <c r="U21" s="118"/>
      <c r="V21" s="118"/>
      <c r="W21" s="118"/>
      <c r="X21" s="334" t="e">
        <f t="shared" si="10"/>
        <v>#REF!</v>
      </c>
      <c r="Y21" s="334" t="e">
        <f t="shared" si="10"/>
        <v>#REF!</v>
      </c>
      <c r="Z21" s="334" t="e">
        <f>CL30</f>
        <v>#REF!</v>
      </c>
      <c r="AA21" s="513" t="e">
        <f>CK30</f>
        <v>#REF!</v>
      </c>
      <c r="AB21" s="513"/>
      <c r="AC21" s="167" t="e">
        <f>CM30</f>
        <v>#REF!</v>
      </c>
      <c r="AD21" s="334" t="s">
        <v>16</v>
      </c>
      <c r="AE21" s="282" t="e">
        <f t="shared" si="11"/>
        <v>#REF!</v>
      </c>
      <c r="AF21" s="334" t="e">
        <f t="shared" si="11"/>
        <v>#REF!</v>
      </c>
      <c r="AG21" s="306" t="e">
        <f>SUM(Y21*3+Z21*1)</f>
        <v>#REF!</v>
      </c>
      <c r="AH21" s="70" t="s">
        <v>193</v>
      </c>
      <c r="AI21" s="70" t="s">
        <v>194</v>
      </c>
      <c r="AJ21" s="70">
        <f>Z58</f>
        <v>0</v>
      </c>
      <c r="AK21" s="232">
        <f>AB58</f>
        <v>0</v>
      </c>
      <c r="AL21" s="73" t="s">
        <v>195</v>
      </c>
      <c r="AM21" s="51" t="s">
        <v>196</v>
      </c>
      <c r="AN21" s="44" t="s">
        <v>185</v>
      </c>
      <c r="AO21" s="45" t="str">
        <f t="shared" si="4"/>
        <v>Draw</v>
      </c>
      <c r="AP21" s="45" t="str">
        <f t="shared" si="5"/>
        <v>Draw</v>
      </c>
      <c r="AQ21" s="45"/>
      <c r="AT21" s="16" t="s">
        <v>124</v>
      </c>
      <c r="AU21" s="16" t="s">
        <v>110</v>
      </c>
      <c r="AV21" s="16" t="s">
        <v>125</v>
      </c>
      <c r="AW21" s="16" t="s">
        <v>126</v>
      </c>
      <c r="AX21" s="16" t="s">
        <v>127</v>
      </c>
      <c r="AY21" s="16" t="s">
        <v>123</v>
      </c>
      <c r="AZ21" s="16" t="s">
        <v>128</v>
      </c>
      <c r="BA21" s="16" t="s">
        <v>129</v>
      </c>
      <c r="CR21" s="21" t="e">
        <f>#REF!</f>
        <v>#REF!</v>
      </c>
    </row>
    <row r="22" spans="1:96" ht="12.95" customHeight="1" thickBot="1" x14ac:dyDescent="0.25">
      <c r="A22" s="516" t="s">
        <v>222</v>
      </c>
      <c r="B22" s="517"/>
      <c r="C22" s="118" t="e">
        <f>CH24</f>
        <v>#REF!</v>
      </c>
      <c r="D22" s="118"/>
      <c r="E22" s="118"/>
      <c r="F22" s="118"/>
      <c r="G22" s="334" t="e">
        <f t="shared" si="8"/>
        <v>#REF!</v>
      </c>
      <c r="H22" s="334" t="e">
        <f t="shared" si="8"/>
        <v>#REF!</v>
      </c>
      <c r="I22" s="334" t="e">
        <f>CL24</f>
        <v>#REF!</v>
      </c>
      <c r="J22" s="513" t="e">
        <f>CK24</f>
        <v>#REF!</v>
      </c>
      <c r="K22" s="513"/>
      <c r="L22" s="167" t="e">
        <f>CM24</f>
        <v>#REF!</v>
      </c>
      <c r="M22" s="334" t="s">
        <v>16</v>
      </c>
      <c r="N22" s="282" t="e">
        <f t="shared" si="9"/>
        <v>#REF!</v>
      </c>
      <c r="O22" s="334" t="e">
        <f t="shared" si="9"/>
        <v>#REF!</v>
      </c>
      <c r="P22" s="306" t="e">
        <f>SUM(H22*3+I22*1)</f>
        <v>#REF!</v>
      </c>
      <c r="Q22" s="167"/>
      <c r="R22" s="516" t="s">
        <v>222</v>
      </c>
      <c r="S22" s="517"/>
      <c r="T22" s="118" t="e">
        <f>CH31</f>
        <v>#REF!</v>
      </c>
      <c r="U22" s="118"/>
      <c r="V22" s="118"/>
      <c r="W22" s="118"/>
      <c r="X22" s="334" t="e">
        <f t="shared" si="10"/>
        <v>#REF!</v>
      </c>
      <c r="Y22" s="334" t="e">
        <f t="shared" si="10"/>
        <v>#REF!</v>
      </c>
      <c r="Z22" s="334" t="e">
        <f>CL31</f>
        <v>#REF!</v>
      </c>
      <c r="AA22" s="513" t="e">
        <f>CK31</f>
        <v>#REF!</v>
      </c>
      <c r="AB22" s="513"/>
      <c r="AC22" s="167" t="e">
        <f>CM31</f>
        <v>#REF!</v>
      </c>
      <c r="AD22" s="334" t="s">
        <v>16</v>
      </c>
      <c r="AE22" s="282" t="e">
        <f t="shared" si="11"/>
        <v>#REF!</v>
      </c>
      <c r="AF22" s="334" t="e">
        <f t="shared" si="11"/>
        <v>#REF!</v>
      </c>
      <c r="AG22" s="306" t="e">
        <f>SUM(Y22*3+Z22*1)</f>
        <v>#REF!</v>
      </c>
      <c r="AH22" s="70" t="s">
        <v>198</v>
      </c>
      <c r="AI22" s="70" t="s">
        <v>199</v>
      </c>
      <c r="AJ22" s="70" t="str">
        <f>Z27</f>
        <v>…</v>
      </c>
      <c r="AK22" s="232" t="str">
        <f>AB27</f>
        <v>…</v>
      </c>
      <c r="AL22" s="73" t="s">
        <v>200</v>
      </c>
      <c r="AM22" s="51" t="s">
        <v>201</v>
      </c>
      <c r="AN22" s="44" t="s">
        <v>126</v>
      </c>
      <c r="AO22" s="45" t="str">
        <f t="shared" si="4"/>
        <v>Draw</v>
      </c>
      <c r="AP22" s="45" t="str">
        <f t="shared" si="5"/>
        <v>Draw</v>
      </c>
      <c r="AQ22" s="45"/>
      <c r="AS22" s="16" t="str">
        <f>EINDRONDE!P8</f>
        <v>1e Poule E</v>
      </c>
      <c r="AT22" s="16">
        <f>COUNT(Brazil_Played)</f>
        <v>1</v>
      </c>
      <c r="AU22" s="16">
        <f>COUNTIF(Groupstage_Winners,"Brazil")</f>
        <v>0</v>
      </c>
      <c r="AV22" s="16">
        <f>COUNTIF(Groupstage_Losers,"Brazil")</f>
        <v>0</v>
      </c>
      <c r="AW22" s="16">
        <f>AT22-(AU22+AV22)</f>
        <v>1</v>
      </c>
      <c r="AX22" s="16" t="e">
        <f>SUM(Brazil_Played)</f>
        <v>#REF!</v>
      </c>
      <c r="AY22" s="16" t="e">
        <f>SUM(Brazil_Against)</f>
        <v>#REF!</v>
      </c>
      <c r="AZ22" s="16" t="e">
        <f>AX22-AY22</f>
        <v>#REF!</v>
      </c>
      <c r="BA22" s="16">
        <f>SUM((AU22*3)+(AW22*1))</f>
        <v>1</v>
      </c>
      <c r="BB22" s="16" t="str">
        <f>IF($BA22&gt;=$BA23,$AS22,$AS23)</f>
        <v>1e Poule E</v>
      </c>
      <c r="BC22" s="16">
        <f>VLOOKUP($BB22,$AS22:$BA25,9,FALSE)</f>
        <v>1</v>
      </c>
      <c r="BD22" s="16" t="e">
        <f>IF($BC22&gt;=$BC24,$BB22,$BB24)</f>
        <v>#REF!</v>
      </c>
      <c r="BE22" s="16" t="e">
        <f>VLOOKUP($BD22,$AS22:$BA25,9,FALSE)</f>
        <v>#REF!</v>
      </c>
      <c r="BF22" s="16" t="e">
        <f>IF($BE22&gt;=$BE25,$BD22,$BD25)</f>
        <v>#REF!</v>
      </c>
      <c r="BG22" s="16" t="e">
        <f>VLOOKUP($BF22,$AS22:$BA25,9,FALSE)</f>
        <v>#REF!</v>
      </c>
      <c r="BH22" s="16" t="e">
        <f>VLOOKUP($BF22,$AS22:$BA25,8,FALSE)</f>
        <v>#REF!</v>
      </c>
      <c r="BI22" s="16" t="e">
        <f>IF(AND($BG22=$BG23,$BH23&gt;$BH22),$BF23,$BF22)</f>
        <v>#REF!</v>
      </c>
      <c r="BJ22" s="16" t="e">
        <f>VLOOKUP($BI22,$AS22:$BA25,9,FALSE)</f>
        <v>#REF!</v>
      </c>
      <c r="BK22" s="16" t="e">
        <f>VLOOKUP($BI22,$AS22:$BA25,8,FALSE)</f>
        <v>#REF!</v>
      </c>
      <c r="BL22" s="16" t="e">
        <f>IF(AND($BJ22=$BJ24,$BK24&gt;$BK22),$BI24,$BI22)</f>
        <v>#REF!</v>
      </c>
      <c r="BM22" s="16" t="e">
        <f>VLOOKUP($BL22,$AS22:$BA25,9,FALSE)</f>
        <v>#REF!</v>
      </c>
      <c r="BN22" s="16" t="e">
        <f>VLOOKUP($BL22,$AS22:$BA25,8,FALSE)</f>
        <v>#REF!</v>
      </c>
      <c r="BO22" s="16" t="e">
        <f>IF(AND($BM22=$BM25,$BN25&gt;$BN22),$BL25,$BL22)</f>
        <v>#REF!</v>
      </c>
      <c r="BP22" s="16" t="e">
        <f>VLOOKUP($BO22,$AS22:$BA25,9,FALSE)</f>
        <v>#REF!</v>
      </c>
      <c r="BQ22" s="16" t="e">
        <f>VLOOKUP($BO22,$AS22:$BA25,8,FALSE)</f>
        <v>#REF!</v>
      </c>
      <c r="BR22" s="16" t="e">
        <f>VLOOKUP($BO22,$AS22:$BA25,6,FALSE)</f>
        <v>#REF!</v>
      </c>
      <c r="BS22" s="16" t="e">
        <f>IF(AND($BP22=$BP23,$BQ22=$BQ23,$BR23&gt;$BR22),$BO23,$BO22)</f>
        <v>#REF!</v>
      </c>
      <c r="BT22" s="16" t="e">
        <f>VLOOKUP($BS22,$AS22:$BA25,9,FALSE)</f>
        <v>#REF!</v>
      </c>
      <c r="BU22" s="16" t="e">
        <f>VLOOKUP($BS22,$AS22:$BA25,8,FALSE)</f>
        <v>#REF!</v>
      </c>
      <c r="BV22" s="16" t="e">
        <f>VLOOKUP($BS22,$AS22:$BA25,6,FALSE)</f>
        <v>#REF!</v>
      </c>
      <c r="BW22" s="16" t="e">
        <f>IF(AND($BT22=$BT24,$BU22=$BU24,$BV24&gt;$BV22),$BS24,$BS22)</f>
        <v>#REF!</v>
      </c>
      <c r="BX22" s="16" t="e">
        <f>VLOOKUP($BW22,$AS22:$BA25,9,FALSE)</f>
        <v>#REF!</v>
      </c>
      <c r="BY22" s="16" t="e">
        <f>VLOOKUP($BW22,$AS22:$BA25,8,FALSE)</f>
        <v>#REF!</v>
      </c>
      <c r="BZ22" s="16" t="e">
        <f>VLOOKUP($BW22,$AS22:$BA25,6,FALSE)</f>
        <v>#REF!</v>
      </c>
      <c r="CA22" s="16" t="e">
        <f>IF(AND($BX22=$BX25,$BY22=$BY25,$BZ25&gt;$BZ22),$BW25,$BW22)</f>
        <v>#REF!</v>
      </c>
      <c r="CB22" s="16" t="e">
        <f>VLOOKUP($CA22,$AS22:$BA25,9,FALSE)</f>
        <v>#REF!</v>
      </c>
      <c r="CC22" s="16" t="e">
        <f>VLOOKUP($CA22,$AS22:$BA25,8,FALSE)</f>
        <v>#REF!</v>
      </c>
      <c r="CD22" s="16" t="e">
        <f>VLOOKUP($CA22,$AS22:$BA25,6,FALSE)</f>
        <v>#REF!</v>
      </c>
      <c r="CH22" s="16" t="e">
        <f>CA22</f>
        <v>#REF!</v>
      </c>
      <c r="CI22" s="16" t="e">
        <f>VLOOKUP($CH22,$AS22:$BA25,2,FALSE)</f>
        <v>#REF!</v>
      </c>
      <c r="CJ22" s="16" t="e">
        <f>VLOOKUP($CH22,$AS22:$BA25,3,FALSE)</f>
        <v>#REF!</v>
      </c>
      <c r="CK22" s="16" t="e">
        <f>VLOOKUP($CH22,$AS22:$BA25,4,FALSE)</f>
        <v>#REF!</v>
      </c>
      <c r="CL22" s="16" t="e">
        <f>VLOOKUP($CH22,$AS22:$BA25,5,FALSE)</f>
        <v>#REF!</v>
      </c>
      <c r="CM22" s="16" t="e">
        <f>VLOOKUP($CH22,$AS22:$BA25,6,FALSE)</f>
        <v>#REF!</v>
      </c>
      <c r="CN22" s="16" t="e">
        <f>VLOOKUP($CH22,$AS22:$BA25,7,FALSE)</f>
        <v>#REF!</v>
      </c>
      <c r="CO22" s="16" t="e">
        <f>VLOOKUP($CH22,$AS22:$BA25,8,FALSE)</f>
        <v>#REF!</v>
      </c>
      <c r="CP22" s="16" t="e">
        <f>VLOOKUP($CH22,$AS22:$BA25,9,FALSE)</f>
        <v>#REF!</v>
      </c>
      <c r="CR22" s="21" t="e">
        <f>#REF!</f>
        <v>#REF!</v>
      </c>
    </row>
    <row r="23" spans="1:96" ht="12.95" customHeight="1" thickBot="1" x14ac:dyDescent="0.25">
      <c r="A23" s="516" t="s">
        <v>223</v>
      </c>
      <c r="B23" s="517"/>
      <c r="C23" s="118" t="e">
        <f>CH25</f>
        <v>#REF!</v>
      </c>
      <c r="D23" s="118"/>
      <c r="E23" s="118"/>
      <c r="F23" s="118"/>
      <c r="G23" s="334" t="e">
        <f t="shared" si="8"/>
        <v>#REF!</v>
      </c>
      <c r="H23" s="334" t="e">
        <f t="shared" si="8"/>
        <v>#REF!</v>
      </c>
      <c r="I23" s="334" t="e">
        <f>CL25</f>
        <v>#REF!</v>
      </c>
      <c r="J23" s="513" t="e">
        <f>CK25</f>
        <v>#REF!</v>
      </c>
      <c r="K23" s="513"/>
      <c r="L23" s="167" t="e">
        <f>CM25</f>
        <v>#REF!</v>
      </c>
      <c r="M23" s="334" t="s">
        <v>16</v>
      </c>
      <c r="N23" s="282" t="e">
        <f t="shared" si="9"/>
        <v>#REF!</v>
      </c>
      <c r="O23" s="334" t="e">
        <f t="shared" si="9"/>
        <v>#REF!</v>
      </c>
      <c r="P23" s="306" t="e">
        <f>SUM(H23*3+I23*1)</f>
        <v>#REF!</v>
      </c>
      <c r="Q23" s="167"/>
      <c r="R23" s="516" t="s">
        <v>223</v>
      </c>
      <c r="S23" s="517"/>
      <c r="T23" s="118" t="e">
        <f>CH33</f>
        <v>#REF!</v>
      </c>
      <c r="U23" s="118"/>
      <c r="V23" s="118"/>
      <c r="W23" s="118"/>
      <c r="X23" s="334" t="e">
        <f>CI33</f>
        <v>#REF!</v>
      </c>
      <c r="Y23" s="334" t="e">
        <f>CJ33</f>
        <v>#REF!</v>
      </c>
      <c r="Z23" s="334" t="e">
        <f>CL33</f>
        <v>#REF!</v>
      </c>
      <c r="AA23" s="513" t="e">
        <f>CK33</f>
        <v>#REF!</v>
      </c>
      <c r="AB23" s="513"/>
      <c r="AC23" s="167" t="e">
        <f>CM33</f>
        <v>#REF!</v>
      </c>
      <c r="AD23" s="334" t="s">
        <v>16</v>
      </c>
      <c r="AE23" s="282" t="e">
        <f>CN33</f>
        <v>#REF!</v>
      </c>
      <c r="AF23" s="334" t="e">
        <f>CO33</f>
        <v>#REF!</v>
      </c>
      <c r="AG23" s="306" t="e">
        <f>SUM(Y23*3+Z23*1)</f>
        <v>#REF!</v>
      </c>
      <c r="AH23" s="63" t="s">
        <v>142</v>
      </c>
      <c r="AI23" s="63" t="s">
        <v>143</v>
      </c>
      <c r="AJ23" s="63">
        <f>I44</f>
        <v>0</v>
      </c>
      <c r="AK23" s="234">
        <f>K44</f>
        <v>0</v>
      </c>
      <c r="AL23" s="77" t="s">
        <v>134</v>
      </c>
      <c r="AM23" s="48" t="s">
        <v>133</v>
      </c>
      <c r="AN23" s="44" t="s">
        <v>137</v>
      </c>
      <c r="AO23" s="45" t="str">
        <f t="shared" si="4"/>
        <v>Draw</v>
      </c>
      <c r="AP23" s="45" t="str">
        <f t="shared" si="5"/>
        <v>Draw</v>
      </c>
      <c r="AQ23" s="45"/>
      <c r="AS23" s="16">
        <f>EINDRONDE!P9</f>
        <v>0</v>
      </c>
      <c r="AT23" s="16">
        <f>COUNT(Turkey_Played)</f>
        <v>0</v>
      </c>
      <c r="AU23" s="16">
        <f>COUNTIF(Groupstage_Winners,"Turkey")</f>
        <v>0</v>
      </c>
      <c r="AV23" s="16">
        <f>COUNTIF(Groupstage_Losers,"Turkey")</f>
        <v>0</v>
      </c>
      <c r="AW23" s="16">
        <f>AT23-(AU23+AV23)</f>
        <v>0</v>
      </c>
      <c r="AX23" s="16" t="e">
        <f>SUM(Turkey_Played)</f>
        <v>#REF!</v>
      </c>
      <c r="AY23" s="16" t="e">
        <f>SUM(Turkey_Against)</f>
        <v>#REF!</v>
      </c>
      <c r="AZ23" s="16" t="e">
        <f>AX23-AY23</f>
        <v>#REF!</v>
      </c>
      <c r="BA23" s="16">
        <f t="shared" ref="BA23:BA25" si="12">SUM((AU23*3)+(AW23*1))</f>
        <v>0</v>
      </c>
      <c r="BB23" s="16">
        <f>IF($BA23&lt;=$BA22,$AS23,$AS22)</f>
        <v>0</v>
      </c>
      <c r="BC23" s="16">
        <f>VLOOKUP($BB23,$AS22:$BA25,9,FALSE)</f>
        <v>0</v>
      </c>
      <c r="BD23" s="16" t="e">
        <f>IF(BC23&gt;=BC25,BB23,BB25)</f>
        <v>#REF!</v>
      </c>
      <c r="BE23" s="16" t="e">
        <f>VLOOKUP($BD23,$AS22:$BA25,9,FALSE)</f>
        <v>#REF!</v>
      </c>
      <c r="BF23" s="16" t="e">
        <f>IF($BE23&gt;=$BE24,$BD23,$BD24)</f>
        <v>#REF!</v>
      </c>
      <c r="BG23" s="16" t="e">
        <f>VLOOKUP($BF23,$AS22:$BA25,9,FALSE)</f>
        <v>#REF!</v>
      </c>
      <c r="BH23" s="16" t="e">
        <f>VLOOKUP($BF23,$AS22:$BA25,8,FALSE)</f>
        <v>#REF!</v>
      </c>
      <c r="BI23" s="16" t="e">
        <f>IF(AND($BG22=$BG23,$BH23&gt;$BH22),$BF22,$BF23)</f>
        <v>#REF!</v>
      </c>
      <c r="BJ23" s="16" t="e">
        <f>VLOOKUP($BI23,$AS22:$BA25,9,FALSE)</f>
        <v>#REF!</v>
      </c>
      <c r="BK23" s="16" t="e">
        <f>VLOOKUP($BI23,$AS22:$BA25,8,FALSE)</f>
        <v>#REF!</v>
      </c>
      <c r="BL23" s="16" t="e">
        <f>IF(AND($BJ23=$BJ25,$BK25&gt;$BK23),$BI25,$BI23)</f>
        <v>#REF!</v>
      </c>
      <c r="BM23" s="16" t="e">
        <f>VLOOKUP($BL23,$AS22:$BA25,9,FALSE)</f>
        <v>#REF!</v>
      </c>
      <c r="BN23" s="16" t="e">
        <f>VLOOKUP($BL23,$AS22:$BA25,8,FALSE)</f>
        <v>#REF!</v>
      </c>
      <c r="BO23" s="16" t="e">
        <f>IF(AND($BM23=$BM24,$BN24&gt;$BN23),$BL24,$BL23)</f>
        <v>#REF!</v>
      </c>
      <c r="BP23" s="16" t="e">
        <f>VLOOKUP($BO23,$AS22:$BA25,9,FALSE)</f>
        <v>#REF!</v>
      </c>
      <c r="BQ23" s="16" t="e">
        <f>VLOOKUP($BO23,$AS22:$BA25,8,FALSE)</f>
        <v>#REF!</v>
      </c>
      <c r="BR23" s="16" t="e">
        <f>VLOOKUP($BO23,$AS22:$BA25,6,FALSE)</f>
        <v>#REF!</v>
      </c>
      <c r="BS23" s="16" t="e">
        <f>IF(AND($BP22=$BP23,$BQ22=$BQ23,$BR23&gt;$BR22),$BO22,$BO23)</f>
        <v>#REF!</v>
      </c>
      <c r="BT23" s="16" t="e">
        <f>VLOOKUP($BS23,$AS22:$BA25,9,FALSE)</f>
        <v>#REF!</v>
      </c>
      <c r="BU23" s="16" t="e">
        <f>VLOOKUP($BS23,$AS22:$BA25,8,FALSE)</f>
        <v>#REF!</v>
      </c>
      <c r="BV23" s="16" t="e">
        <f>VLOOKUP($BS23,$AS22:$BA25,6,FALSE)</f>
        <v>#REF!</v>
      </c>
      <c r="BW23" s="16" t="e">
        <f>IF(AND($BT23=$BT25,$BU23=$BU25,$BV25&gt;$BV23),$BS25,$BS23)</f>
        <v>#REF!</v>
      </c>
      <c r="BX23" s="16" t="e">
        <f>VLOOKUP($BW23,$AS22:$BA25,9,FALSE)</f>
        <v>#REF!</v>
      </c>
      <c r="BY23" s="16" t="e">
        <f>VLOOKUP($BW23,$AS22:$BA25,8,FALSE)</f>
        <v>#REF!</v>
      </c>
      <c r="BZ23" s="16" t="e">
        <f>VLOOKUP($BW23,$AS22:$BA25,6,FALSE)</f>
        <v>#REF!</v>
      </c>
      <c r="CA23" s="16" t="e">
        <f>IF(AND($BX23=$BX24,$BY23=$BY24,$BZ24&gt;$BZ23),$BW24,$BW23)</f>
        <v>#REF!</v>
      </c>
      <c r="CB23" s="16" t="e">
        <f>VLOOKUP($CA23,$AS22:$BA25,9,FALSE)</f>
        <v>#REF!</v>
      </c>
      <c r="CC23" s="16" t="e">
        <f>VLOOKUP($CA23,$AS22:$BA25,8,FALSE)</f>
        <v>#REF!</v>
      </c>
      <c r="CD23" s="16" t="e">
        <f>VLOOKUP($CA23,$AS22:$BA25,6,FALSE)</f>
        <v>#REF!</v>
      </c>
      <c r="CH23" s="16" t="e">
        <f>CA23</f>
        <v>#REF!</v>
      </c>
      <c r="CI23" s="16" t="e">
        <f>VLOOKUP($CH23,$AS22:$BA25,2,FALSE)</f>
        <v>#REF!</v>
      </c>
      <c r="CJ23" s="16" t="e">
        <f>VLOOKUP($CH23,$AS22:$BA25,3,FALSE)</f>
        <v>#REF!</v>
      </c>
      <c r="CK23" s="16" t="e">
        <f>VLOOKUP($CH23,$AS22:$BA25,4,FALSE)</f>
        <v>#REF!</v>
      </c>
      <c r="CL23" s="16" t="e">
        <f>VLOOKUP($CH23,$AS22:$BA25,5,FALSE)</f>
        <v>#REF!</v>
      </c>
      <c r="CM23" s="16" t="e">
        <f>VLOOKUP($CH23,$AS22:$BA25,6,FALSE)</f>
        <v>#REF!</v>
      </c>
      <c r="CN23" s="16" t="e">
        <f>VLOOKUP($CH23,$AS22:$BA25,7,FALSE)</f>
        <v>#REF!</v>
      </c>
      <c r="CO23" s="16" t="e">
        <f>VLOOKUP($CH23,$AS22:$BA25,8,FALSE)</f>
        <v>#REF!</v>
      </c>
      <c r="CP23" s="16" t="e">
        <f>VLOOKUP($CH23,$AS22:$BA25,9,FALSE)</f>
        <v>#REF!</v>
      </c>
      <c r="CR23" s="21" t="e">
        <f>#REF!</f>
        <v>#REF!</v>
      </c>
    </row>
    <row r="24" spans="1:96" ht="7.5" customHeight="1" thickBot="1" x14ac:dyDescent="0.25">
      <c r="A24" s="28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P24" s="32"/>
      <c r="R24" s="28"/>
      <c r="AG24" s="32"/>
      <c r="AH24" s="65" t="s">
        <v>138</v>
      </c>
      <c r="AI24" s="63" t="s">
        <v>139</v>
      </c>
      <c r="AJ24" s="63">
        <f>I13</f>
        <v>0</v>
      </c>
      <c r="AK24" s="234">
        <f>K13</f>
        <v>2</v>
      </c>
      <c r="AL24" s="77" t="s">
        <v>120</v>
      </c>
      <c r="AM24" s="56" t="s">
        <v>119</v>
      </c>
      <c r="AN24" s="44" t="s">
        <v>123</v>
      </c>
      <c r="AO24" s="45" t="str">
        <f t="shared" si="4"/>
        <v>Uruguay</v>
      </c>
      <c r="AP24" s="45" t="str">
        <f t="shared" si="5"/>
        <v>France</v>
      </c>
      <c r="AQ24" s="45"/>
      <c r="AS24" s="16" t="e">
        <f>EINDRONDE!P10</f>
        <v>#REF!</v>
      </c>
      <c r="AT24" s="16">
        <f>COUNT(China_Played)</f>
        <v>2</v>
      </c>
      <c r="AU24" s="16">
        <f>COUNTIF(Groupstage_Winners,"China")</f>
        <v>0</v>
      </c>
      <c r="AV24" s="16">
        <f>COUNTIF(Groupstage_Losers,"China")</f>
        <v>0</v>
      </c>
      <c r="AW24" s="16">
        <f>AT24-(AU24+AV24)</f>
        <v>2</v>
      </c>
      <c r="AX24" s="16" t="e">
        <f>SUM(China_Played)</f>
        <v>#REF!</v>
      </c>
      <c r="AY24" s="16" t="e">
        <f>SUM(China_Against)</f>
        <v>#REF!</v>
      </c>
      <c r="AZ24" s="16" t="e">
        <f>AX24-AY24</f>
        <v>#REF!</v>
      </c>
      <c r="BA24" s="16">
        <f t="shared" si="12"/>
        <v>2</v>
      </c>
      <c r="BB24" s="16" t="e">
        <f>IF($BA24&gt;=$BA25,$AS24,$AS25)</f>
        <v>#REF!</v>
      </c>
      <c r="BC24" s="16" t="e">
        <f>VLOOKUP($BB24,$AS22:$BA25,9,FALSE)</f>
        <v>#REF!</v>
      </c>
      <c r="BD24" s="16" t="e">
        <f>IF($BC24&lt;=$BC22,$BB24,$BB22)</f>
        <v>#REF!</v>
      </c>
      <c r="BE24" s="16" t="e">
        <f>VLOOKUP($BD24,$AS22:$BA25,9,FALSE)</f>
        <v>#REF!</v>
      </c>
      <c r="BF24" s="16" t="e">
        <f>IF($BE24&lt;=$BE23,$BD24,$BD23)</f>
        <v>#REF!</v>
      </c>
      <c r="BG24" s="16" t="e">
        <f>VLOOKUP($BF24,$AS22:$BA25,9,FALSE)</f>
        <v>#REF!</v>
      </c>
      <c r="BH24" s="16" t="e">
        <f>VLOOKUP($BF24,$AS22:$BA25,8,FALSE)</f>
        <v>#REF!</v>
      </c>
      <c r="BI24" s="16" t="e">
        <f>IF(AND($BG24=$BG25,$BH25&gt;$BH24),$BF25,$BF24)</f>
        <v>#REF!</v>
      </c>
      <c r="BJ24" s="16" t="e">
        <f>VLOOKUP($BI24,$AS22:$BA25,9,FALSE)</f>
        <v>#REF!</v>
      </c>
      <c r="BK24" s="16" t="e">
        <f>VLOOKUP($BI24,$AS22:$BA25,8,FALSE)</f>
        <v>#REF!</v>
      </c>
      <c r="BL24" s="16" t="e">
        <f>IF(AND($BJ22=$BJ24,$BK24&gt;$BK22),$BI22,$BI24)</f>
        <v>#REF!</v>
      </c>
      <c r="BM24" s="16" t="e">
        <f>VLOOKUP($BL24,$AS22:$BA25,9,FALSE)</f>
        <v>#REF!</v>
      </c>
      <c r="BN24" s="16" t="e">
        <f>VLOOKUP($BL24,$AS22:$BA25,8,FALSE)</f>
        <v>#REF!</v>
      </c>
      <c r="BO24" s="16" t="e">
        <f>IF(AND($BM23=$BM24,$BN24&gt;$BN23),$BL23,$BL24)</f>
        <v>#REF!</v>
      </c>
      <c r="BP24" s="16" t="e">
        <f>VLOOKUP($BO24,$AS22:$BA25,9,FALSE)</f>
        <v>#REF!</v>
      </c>
      <c r="BQ24" s="16" t="e">
        <f>VLOOKUP($BO24,$AS22:$BA25,8,FALSE)</f>
        <v>#REF!</v>
      </c>
      <c r="BR24" s="16" t="e">
        <f>VLOOKUP($BO24,$AS22:$BA25,6,FALSE)</f>
        <v>#REF!</v>
      </c>
      <c r="BS24" s="16" t="e">
        <f>IF(AND($BP24=$BP25,$BQ24=$BQ25,$BR25&gt;$BR24),$BO25,$BO24)</f>
        <v>#REF!</v>
      </c>
      <c r="BT24" s="16" t="e">
        <f>VLOOKUP($BS24,$AS22:$BA25,9,FALSE)</f>
        <v>#REF!</v>
      </c>
      <c r="BU24" s="16" t="e">
        <f>VLOOKUP($BS24,$AS22:$BA25,8,FALSE)</f>
        <v>#REF!</v>
      </c>
      <c r="BV24" s="16" t="e">
        <f>VLOOKUP($BS24,$AS22:$BA25,6,FALSE)</f>
        <v>#REF!</v>
      </c>
      <c r="BW24" s="16" t="e">
        <f>IF(AND($BT22=$BT24,$BU22=$BU24,$BV23&gt;$BV22),$BS22,$BS24)</f>
        <v>#REF!</v>
      </c>
      <c r="BX24" s="16" t="e">
        <f>VLOOKUP($BW24,$AS22:$BA25,9,FALSE)</f>
        <v>#REF!</v>
      </c>
      <c r="BY24" s="16" t="e">
        <f>VLOOKUP($BW24,$AS22:$BA25,8,FALSE)</f>
        <v>#REF!</v>
      </c>
      <c r="BZ24" s="16" t="e">
        <f>VLOOKUP($BW24,$AS22:$BA25,6,FALSE)</f>
        <v>#REF!</v>
      </c>
      <c r="CA24" s="16" t="e">
        <f>IF(AND($BX23=$BX24,$BY23=$BY24,$BZ24&gt;$BZ23),$BW23,$BW24)</f>
        <v>#REF!</v>
      </c>
      <c r="CB24" s="16" t="e">
        <f>VLOOKUP($CA24,$AS22:$BA25,9,FALSE)</f>
        <v>#REF!</v>
      </c>
      <c r="CC24" s="16" t="e">
        <f>VLOOKUP($CA24,$AS22:$BA25,8,FALSE)</f>
        <v>#REF!</v>
      </c>
      <c r="CD24" s="16" t="e">
        <f>VLOOKUP($CA24,$AS22:$BA25,6,FALSE)</f>
        <v>#REF!</v>
      </c>
      <c r="CH24" s="16" t="e">
        <f>CA24</f>
        <v>#REF!</v>
      </c>
      <c r="CI24" s="16" t="e">
        <f>VLOOKUP($CH24,$AS22:$BA25,2,FALSE)</f>
        <v>#REF!</v>
      </c>
      <c r="CJ24" s="16" t="e">
        <f>VLOOKUP($CH24,$AS22:$BA25,3,FALSE)</f>
        <v>#REF!</v>
      </c>
      <c r="CK24" s="16" t="e">
        <f>VLOOKUP($CH24,$AS22:$BA25,4,FALSE)</f>
        <v>#REF!</v>
      </c>
      <c r="CL24" s="16" t="e">
        <f>VLOOKUP($CH24,$AS22:$BA25,5,FALSE)</f>
        <v>#REF!</v>
      </c>
      <c r="CM24" s="16" t="e">
        <f>VLOOKUP($CH24,$AS22:$BA25,6,FALSE)</f>
        <v>#REF!</v>
      </c>
      <c r="CN24" s="16" t="e">
        <f>VLOOKUP($CH24,$AS22:$BA25,7,FALSE)</f>
        <v>#REF!</v>
      </c>
      <c r="CO24" s="16" t="e">
        <f>VLOOKUP($CH24,$AS22:$BA25,8,FALSE)</f>
        <v>#REF!</v>
      </c>
      <c r="CP24" s="16" t="e">
        <f>VLOOKUP($CH24,$AS22:$BA25,9,FALSE)</f>
        <v>#REF!</v>
      </c>
      <c r="CR24" s="21" t="e">
        <f>#REF!</f>
        <v>#REF!</v>
      </c>
    </row>
    <row r="25" spans="1:96" s="145" customFormat="1" ht="9.75" customHeight="1" thickBot="1" x14ac:dyDescent="0.25">
      <c r="A25" s="246" t="s">
        <v>85</v>
      </c>
      <c r="B25" s="339"/>
      <c r="C25" s="339"/>
      <c r="D25" s="124" t="s">
        <v>86</v>
      </c>
      <c r="E25" s="124"/>
      <c r="F25" s="124"/>
      <c r="G25" s="124"/>
      <c r="H25" s="124"/>
      <c r="I25" s="515" t="s">
        <v>15</v>
      </c>
      <c r="J25" s="515"/>
      <c r="K25" s="515"/>
      <c r="L25" s="526"/>
      <c r="M25" s="526"/>
      <c r="N25" s="526"/>
      <c r="O25" s="526"/>
      <c r="P25" s="527"/>
      <c r="Q25" s="24"/>
      <c r="R25" s="246" t="s">
        <v>85</v>
      </c>
      <c r="S25" s="339"/>
      <c r="T25" s="339"/>
      <c r="U25" s="124" t="s">
        <v>86</v>
      </c>
      <c r="V25" s="124"/>
      <c r="W25" s="124"/>
      <c r="X25" s="124"/>
      <c r="Y25" s="124"/>
      <c r="Z25" s="515" t="s">
        <v>15</v>
      </c>
      <c r="AA25" s="515"/>
      <c r="AB25" s="515"/>
      <c r="AC25" s="526"/>
      <c r="AD25" s="526"/>
      <c r="AE25" s="526"/>
      <c r="AF25" s="526"/>
      <c r="AG25" s="527"/>
      <c r="AH25" s="139" t="s">
        <v>136</v>
      </c>
      <c r="AI25" s="140" t="s">
        <v>135</v>
      </c>
      <c r="AJ25" s="140">
        <f>I45</f>
        <v>0</v>
      </c>
      <c r="AK25" s="235">
        <f>K45</f>
        <v>0</v>
      </c>
      <c r="AL25" s="141" t="s">
        <v>144</v>
      </c>
      <c r="AM25" s="142" t="s">
        <v>145</v>
      </c>
      <c r="AN25" s="143" t="s">
        <v>137</v>
      </c>
      <c r="AO25" s="144" t="str">
        <f t="shared" si="4"/>
        <v>Draw</v>
      </c>
      <c r="AP25" s="144" t="str">
        <f t="shared" si="5"/>
        <v>Draw</v>
      </c>
      <c r="AQ25" s="144"/>
      <c r="AS25" s="145" t="e">
        <f>EINDRONDE!P11</f>
        <v>#REF!</v>
      </c>
      <c r="AT25" s="145">
        <f>COUNT(Costa_Rica_Played)</f>
        <v>1</v>
      </c>
      <c r="AU25" s="145">
        <f>COUNTIF(Groupstage_Winners,"Costa Rica")</f>
        <v>0</v>
      </c>
      <c r="AV25" s="145">
        <f>COUNTIF(Groupstage_Losers,"Costa Rica")</f>
        <v>0</v>
      </c>
      <c r="AW25" s="145">
        <f>AT25-(AU25+AV25)</f>
        <v>1</v>
      </c>
      <c r="AX25" s="145" t="e">
        <f>SUM(Costa_Rica_Played)</f>
        <v>#REF!</v>
      </c>
      <c r="AY25" s="145" t="e">
        <f>SUM(Costa_Rica_Against)</f>
        <v>#REF!</v>
      </c>
      <c r="AZ25" s="145" t="e">
        <f>AX25-AY25</f>
        <v>#REF!</v>
      </c>
      <c r="BA25" s="16">
        <f t="shared" si="12"/>
        <v>1</v>
      </c>
      <c r="BB25" s="145" t="e">
        <f>IF($BA25&lt;=$BA24,$AS25,$AS24)</f>
        <v>#REF!</v>
      </c>
      <c r="BC25" s="145" t="e">
        <f>VLOOKUP($BB25,$AS22:$BA25,9,FALSE)</f>
        <v>#REF!</v>
      </c>
      <c r="BD25" s="145" t="e">
        <f>IF(BC25&lt;=BC23,BB25,BB23)</f>
        <v>#REF!</v>
      </c>
      <c r="BE25" s="145" t="e">
        <f>VLOOKUP($BD25,$AS22:$BA25,9,FALSE)</f>
        <v>#REF!</v>
      </c>
      <c r="BF25" s="145" t="e">
        <f>IF($BE25&lt;=$BE22,$BD25,$BD22)</f>
        <v>#REF!</v>
      </c>
      <c r="BG25" s="145" t="e">
        <f>VLOOKUP($BF25,$AS22:$BA25,9,FALSE)</f>
        <v>#REF!</v>
      </c>
      <c r="BH25" s="145" t="e">
        <f>VLOOKUP($BF25,$AS22:$BA25,8,FALSE)</f>
        <v>#REF!</v>
      </c>
      <c r="BI25" s="145" t="e">
        <f>IF(AND($BG24=$BG25,$BH25&gt;$BH24),$BF24,$BF25)</f>
        <v>#REF!</v>
      </c>
      <c r="BJ25" s="145" t="e">
        <f>VLOOKUP($BI25,$AS22:$BA25,9,FALSE)</f>
        <v>#REF!</v>
      </c>
      <c r="BK25" s="145" t="e">
        <f>VLOOKUP($BI25,$AS22:$BA25,8,FALSE)</f>
        <v>#REF!</v>
      </c>
      <c r="BL25" s="145" t="e">
        <f>IF(AND($BJ23=$BJ25,$BK25&gt;$BK23),$BI23,$BI25)</f>
        <v>#REF!</v>
      </c>
      <c r="BM25" s="145" t="e">
        <f>VLOOKUP($BL25,$AS22:$BA25,9,FALSE)</f>
        <v>#REF!</v>
      </c>
      <c r="BN25" s="145" t="e">
        <f>VLOOKUP($BL25,$AS22:$BA25,8,FALSE)</f>
        <v>#REF!</v>
      </c>
      <c r="BO25" s="145" t="e">
        <f>IF(AND($BM22=$BM25,$BN25&gt;$BN22),$BL22,$BL25)</f>
        <v>#REF!</v>
      </c>
      <c r="BP25" s="145" t="e">
        <f>VLOOKUP($BO25,$AS22:$BA25,9,FALSE)</f>
        <v>#REF!</v>
      </c>
      <c r="BQ25" s="145" t="e">
        <f>VLOOKUP($BO25,$AS22:$BA25,8,FALSE)</f>
        <v>#REF!</v>
      </c>
      <c r="BR25" s="145" t="e">
        <f>VLOOKUP($BO25,$AS22:$BA25,6,FALSE)</f>
        <v>#REF!</v>
      </c>
      <c r="BS25" s="145" t="e">
        <f>IF(AND($BP24=$BP25,$BQ24=$BQ25,$BR25&gt;$BR24),$BO24,$BO25)</f>
        <v>#REF!</v>
      </c>
      <c r="BT25" s="145" t="e">
        <f>VLOOKUP($BS25,$AS22:$BA25,9,FALSE)</f>
        <v>#REF!</v>
      </c>
      <c r="BU25" s="145" t="e">
        <f>VLOOKUP($BS25,$AS22:$BA25,8,FALSE)</f>
        <v>#REF!</v>
      </c>
      <c r="BV25" s="145" t="e">
        <f>VLOOKUP($BS25,$AS22:$BA25,6,FALSE)</f>
        <v>#REF!</v>
      </c>
      <c r="BW25" s="145" t="e">
        <f>IF(AND($BT23=$BT25,$BU23=$BU25,$BV25&gt;$BV23),$BS23,$BS25)</f>
        <v>#REF!</v>
      </c>
      <c r="BX25" s="145" t="e">
        <f>VLOOKUP($BW25,$AS22:$BA25,9,FALSE)</f>
        <v>#REF!</v>
      </c>
      <c r="BY25" s="145" t="e">
        <f>VLOOKUP($BW25,$AS22:$BA25,8,FALSE)</f>
        <v>#REF!</v>
      </c>
      <c r="BZ25" s="145" t="e">
        <f>VLOOKUP($BW25,$AS22:$BA25,6,FALSE)</f>
        <v>#REF!</v>
      </c>
      <c r="CA25" s="145" t="e">
        <f>IF(AND($BX22=$BX25,$BY22=$BY25,$BZ25&gt;$BZ22),$BW22,$BW25)</f>
        <v>#REF!</v>
      </c>
      <c r="CB25" s="145" t="e">
        <f>VLOOKUP($CA25,$AS22:$BA25,9,FALSE)</f>
        <v>#REF!</v>
      </c>
      <c r="CC25" s="145" t="e">
        <f>VLOOKUP($CA25,$AS22:$BA25,8,FALSE)</f>
        <v>#REF!</v>
      </c>
      <c r="CD25" s="145" t="e">
        <f>VLOOKUP($CA25,$AS22:$BA25,6,FALSE)</f>
        <v>#REF!</v>
      </c>
      <c r="CH25" s="145" t="e">
        <f>CA25</f>
        <v>#REF!</v>
      </c>
      <c r="CI25" s="145" t="e">
        <f>VLOOKUP($CH25,$AS22:$BA25,2,FALSE)</f>
        <v>#REF!</v>
      </c>
      <c r="CJ25" s="145" t="e">
        <f>VLOOKUP($CH25,$AS22:$BA25,3,FALSE)</f>
        <v>#REF!</v>
      </c>
      <c r="CK25" s="145" t="e">
        <f>VLOOKUP($CH25,$AS22:$BA25,4,FALSE)</f>
        <v>#REF!</v>
      </c>
      <c r="CL25" s="145" t="e">
        <f>VLOOKUP($CH25,$AS22:$BA25,5,FALSE)</f>
        <v>#REF!</v>
      </c>
      <c r="CM25" s="145" t="e">
        <f>VLOOKUP($CH25,$AS22:$BA25,6,FALSE)</f>
        <v>#REF!</v>
      </c>
      <c r="CN25" s="145" t="e">
        <f>VLOOKUP($CH25,$AS22:$BA25,7,FALSE)</f>
        <v>#REF!</v>
      </c>
      <c r="CO25" s="145" t="e">
        <f>VLOOKUP($CH25,$AS22:$BA25,8,FALSE)</f>
        <v>#REF!</v>
      </c>
      <c r="CP25" s="145" t="e">
        <f>VLOOKUP($CH25,$AS22:$BA25,9,FALSE)</f>
        <v>#REF!</v>
      </c>
      <c r="CR25" s="146" t="e">
        <f>#REF!</f>
        <v>#REF!</v>
      </c>
    </row>
    <row r="26" spans="1:96" ht="12.95" customHeight="1" thickBot="1" x14ac:dyDescent="0.25">
      <c r="A26" s="520">
        <f>START!C14</f>
        <v>0.5625</v>
      </c>
      <c r="B26" s="518"/>
      <c r="C26" s="283"/>
      <c r="D26" s="337" t="str">
        <f>AS22</f>
        <v>1e Poule E</v>
      </c>
      <c r="E26" s="283" t="s">
        <v>16</v>
      </c>
      <c r="F26" s="518">
        <f>AS23</f>
        <v>0</v>
      </c>
      <c r="G26" s="518"/>
      <c r="H26" s="518"/>
      <c r="I26" s="165" t="str">
        <f>KWALIFICATIE!AD86</f>
        <v>…</v>
      </c>
      <c r="J26" s="334" t="s">
        <v>16</v>
      </c>
      <c r="K26" s="166" t="str">
        <f>KWALIFICATIE!AF86</f>
        <v>…</v>
      </c>
      <c r="L26" s="518"/>
      <c r="M26" s="518"/>
      <c r="N26" s="518"/>
      <c r="O26" s="518"/>
      <c r="P26" s="519"/>
      <c r="Q26" s="118"/>
      <c r="R26" s="520">
        <f>START!C15</f>
        <v>0.57291666666666663</v>
      </c>
      <c r="S26" s="518"/>
      <c r="T26" s="283"/>
      <c r="U26" s="337" t="str">
        <f>AS29</f>
        <v>1e Poule F</v>
      </c>
      <c r="V26" s="283" t="s">
        <v>16</v>
      </c>
      <c r="W26" s="518" t="e">
        <f>AS30</f>
        <v>#REF!</v>
      </c>
      <c r="X26" s="518"/>
      <c r="Y26" s="518"/>
      <c r="Z26" s="165" t="str">
        <f>KWALIFICATIE!AD92</f>
        <v>…</v>
      </c>
      <c r="AA26" s="334" t="s">
        <v>16</v>
      </c>
      <c r="AB26" s="166" t="str">
        <f>KWALIFICATIE!AF92</f>
        <v>…</v>
      </c>
      <c r="AC26" s="518"/>
      <c r="AD26" s="518"/>
      <c r="AE26" s="518"/>
      <c r="AF26" s="518"/>
      <c r="AG26" s="519"/>
      <c r="AH26" s="65" t="s">
        <v>122</v>
      </c>
      <c r="AI26" s="63" t="s">
        <v>121</v>
      </c>
      <c r="AJ26" s="63">
        <f>I14</f>
        <v>0</v>
      </c>
      <c r="AK26" s="234">
        <f>K14</f>
        <v>1</v>
      </c>
      <c r="AL26" s="77" t="s">
        <v>140</v>
      </c>
      <c r="AM26" s="56" t="s">
        <v>141</v>
      </c>
      <c r="AN26" s="44" t="s">
        <v>123</v>
      </c>
      <c r="AO26" s="45" t="str">
        <f t="shared" si="4"/>
        <v>Senegal</v>
      </c>
      <c r="AP26" s="45" t="str">
        <f t="shared" si="5"/>
        <v>Denmark</v>
      </c>
      <c r="AQ26" s="45"/>
      <c r="CR26" s="21" t="e">
        <f>#REF!</f>
        <v>#REF!</v>
      </c>
    </row>
    <row r="27" spans="1:96" ht="12.95" customHeight="1" thickBot="1" x14ac:dyDescent="0.25">
      <c r="A27" s="520">
        <f>A26</f>
        <v>0.5625</v>
      </c>
      <c r="B27" s="518"/>
      <c r="C27" s="283"/>
      <c r="D27" s="24" t="e">
        <f>AS24</f>
        <v>#REF!</v>
      </c>
      <c r="E27" s="283" t="s">
        <v>16</v>
      </c>
      <c r="F27" s="518" t="e">
        <f>AS25</f>
        <v>#REF!</v>
      </c>
      <c r="G27" s="518"/>
      <c r="H27" s="518"/>
      <c r="I27" s="165">
        <f>EINDRONDE!AD25</f>
        <v>1</v>
      </c>
      <c r="J27" s="334" t="s">
        <v>16</v>
      </c>
      <c r="K27" s="166">
        <f>EINDRONDE!AF25</f>
        <v>1</v>
      </c>
      <c r="L27" s="518"/>
      <c r="M27" s="518"/>
      <c r="N27" s="518"/>
      <c r="O27" s="518"/>
      <c r="P27" s="519"/>
      <c r="Q27" s="118"/>
      <c r="R27" s="520">
        <f>R26</f>
        <v>0.57291666666666663</v>
      </c>
      <c r="S27" s="518"/>
      <c r="T27" s="283"/>
      <c r="U27" s="24" t="str">
        <f>AS31</f>
        <v>Monnie Represent</v>
      </c>
      <c r="V27" s="283" t="s">
        <v>16</v>
      </c>
      <c r="W27" s="518" t="str">
        <f>AS33</f>
        <v>2e Beste nrs. 3</v>
      </c>
      <c r="X27" s="518"/>
      <c r="Y27" s="518"/>
      <c r="Z27" s="165" t="str">
        <f>KWALIFICATIE!AD93</f>
        <v>…</v>
      </c>
      <c r="AA27" s="334" t="s">
        <v>16</v>
      </c>
      <c r="AB27" s="166" t="str">
        <f>KWALIFICATIE!AF93</f>
        <v>…</v>
      </c>
      <c r="AC27" s="518"/>
      <c r="AD27" s="518"/>
      <c r="AE27" s="518"/>
      <c r="AF27" s="518"/>
      <c r="AG27" s="519"/>
      <c r="AH27" s="65" t="s">
        <v>149</v>
      </c>
      <c r="AI27" s="63" t="s">
        <v>148</v>
      </c>
      <c r="AJ27" s="63" t="e">
        <f>Z45</f>
        <v>#REF!</v>
      </c>
      <c r="AK27" s="234" t="e">
        <f>AB45</f>
        <v>#REF!</v>
      </c>
      <c r="AL27" s="77" t="s">
        <v>157</v>
      </c>
      <c r="AM27" s="47" t="s">
        <v>158</v>
      </c>
      <c r="AN27" s="44" t="s">
        <v>127</v>
      </c>
      <c r="AO27" s="45" t="e">
        <f t="shared" si="4"/>
        <v>#REF!</v>
      </c>
      <c r="AP27" s="45" t="e">
        <f t="shared" si="5"/>
        <v>#REF!</v>
      </c>
      <c r="AQ27" s="45"/>
      <c r="AS27" s="16" t="s">
        <v>203</v>
      </c>
      <c r="CR27" s="21" t="e">
        <f>#REF!</f>
        <v>#REF!</v>
      </c>
    </row>
    <row r="28" spans="1:96" ht="12.95" customHeight="1" thickBot="1" x14ac:dyDescent="0.25">
      <c r="A28" s="520">
        <f>START!C18</f>
        <v>0.60416666666666663</v>
      </c>
      <c r="B28" s="518"/>
      <c r="C28" s="283"/>
      <c r="D28" s="24" t="str">
        <f>AS22</f>
        <v>1e Poule E</v>
      </c>
      <c r="E28" s="283" t="s">
        <v>16</v>
      </c>
      <c r="F28" s="518" t="e">
        <f>AS24</f>
        <v>#REF!</v>
      </c>
      <c r="G28" s="518"/>
      <c r="H28" s="518"/>
      <c r="I28" s="165">
        <f>EINDRONDE!AD47</f>
        <v>1</v>
      </c>
      <c r="J28" s="334" t="s">
        <v>16</v>
      </c>
      <c r="K28" s="166">
        <f>EINDRONDE!AF47</f>
        <v>1</v>
      </c>
      <c r="L28" s="518"/>
      <c r="M28" s="518"/>
      <c r="N28" s="518"/>
      <c r="O28" s="518"/>
      <c r="P28" s="519"/>
      <c r="Q28" s="118"/>
      <c r="R28" s="520">
        <f>START!C18</f>
        <v>0.60416666666666663</v>
      </c>
      <c r="S28" s="518"/>
      <c r="T28" s="283"/>
      <c r="U28" s="24" t="str">
        <f>AS29</f>
        <v>1e Poule F</v>
      </c>
      <c r="V28" s="283" t="s">
        <v>16</v>
      </c>
      <c r="W28" s="518" t="str">
        <f>AS31</f>
        <v>Monnie Represent</v>
      </c>
      <c r="X28" s="518"/>
      <c r="Y28" s="518"/>
      <c r="Z28" s="165">
        <f>EINDRONDE!AD49</f>
        <v>0</v>
      </c>
      <c r="AA28" s="334" t="s">
        <v>16</v>
      </c>
      <c r="AB28" s="166">
        <f>EINDRONDE!AF49</f>
        <v>0</v>
      </c>
      <c r="AC28" s="518"/>
      <c r="AD28" s="518"/>
      <c r="AE28" s="518"/>
      <c r="AF28" s="518"/>
      <c r="AG28" s="519"/>
      <c r="AH28" s="65" t="s">
        <v>160</v>
      </c>
      <c r="AI28" s="63" t="s">
        <v>161</v>
      </c>
      <c r="AJ28" s="63">
        <f>Z13</f>
        <v>0</v>
      </c>
      <c r="AK28" s="234">
        <f>AB13</f>
        <v>0</v>
      </c>
      <c r="AL28" s="77" t="s">
        <v>151</v>
      </c>
      <c r="AM28" s="47" t="s">
        <v>150</v>
      </c>
      <c r="AN28" s="44" t="s">
        <v>154</v>
      </c>
      <c r="AO28" s="45" t="str">
        <f t="shared" si="4"/>
        <v>Draw</v>
      </c>
      <c r="AP28" s="45" t="str">
        <f t="shared" si="5"/>
        <v>Draw</v>
      </c>
      <c r="AQ28" s="45"/>
      <c r="AT28" s="16" t="s">
        <v>124</v>
      </c>
      <c r="AU28" s="16" t="s">
        <v>110</v>
      </c>
      <c r="AV28" s="16" t="s">
        <v>125</v>
      </c>
      <c r="AW28" s="16" t="s">
        <v>126</v>
      </c>
      <c r="AX28" s="16" t="s">
        <v>127</v>
      </c>
      <c r="AY28" s="16" t="s">
        <v>123</v>
      </c>
      <c r="AZ28" s="16" t="s">
        <v>128</v>
      </c>
      <c r="BA28" s="16" t="s">
        <v>129</v>
      </c>
      <c r="CR28" s="21" t="e">
        <f>#REF!</f>
        <v>#REF!</v>
      </c>
    </row>
    <row r="29" spans="1:96" ht="12.95" customHeight="1" thickBot="1" x14ac:dyDescent="0.25">
      <c r="A29" s="520">
        <f>A28</f>
        <v>0.60416666666666663</v>
      </c>
      <c r="B29" s="518"/>
      <c r="C29" s="283"/>
      <c r="D29" s="24" t="e">
        <f>AS25</f>
        <v>#REF!</v>
      </c>
      <c r="E29" s="283" t="s">
        <v>16</v>
      </c>
      <c r="F29" s="518">
        <f>AS23</f>
        <v>0</v>
      </c>
      <c r="G29" s="518"/>
      <c r="H29" s="518"/>
      <c r="I29" s="165" t="e">
        <f>EINDRONDE!#REF!</f>
        <v>#REF!</v>
      </c>
      <c r="J29" s="334" t="s">
        <v>16</v>
      </c>
      <c r="K29" s="166" t="e">
        <f>EINDRONDE!#REF!</f>
        <v>#REF!</v>
      </c>
      <c r="L29" s="518"/>
      <c r="M29" s="518"/>
      <c r="N29" s="518"/>
      <c r="O29" s="518"/>
      <c r="P29" s="519"/>
      <c r="Q29" s="118"/>
      <c r="R29" s="520">
        <f>R28</f>
        <v>0.60416666666666663</v>
      </c>
      <c r="S29" s="518"/>
      <c r="T29" s="283"/>
      <c r="U29" s="24" t="str">
        <f>AS33</f>
        <v>2e Beste nrs. 3</v>
      </c>
      <c r="V29" s="283" t="s">
        <v>16</v>
      </c>
      <c r="W29" s="518" t="e">
        <f>AS30</f>
        <v>#REF!</v>
      </c>
      <c r="X29" s="518"/>
      <c r="Y29" s="518"/>
      <c r="Z29" s="165">
        <f>EINDRONDE!AD50</f>
        <v>0</v>
      </c>
      <c r="AA29" s="334" t="s">
        <v>16</v>
      </c>
      <c r="AB29" s="166">
        <f>EINDRONDE!AF50</f>
        <v>0</v>
      </c>
      <c r="AC29" s="518"/>
      <c r="AD29" s="518"/>
      <c r="AE29" s="518"/>
      <c r="AF29" s="518"/>
      <c r="AG29" s="519"/>
      <c r="AH29" s="65" t="s">
        <v>155</v>
      </c>
      <c r="AI29" s="63" t="s">
        <v>156</v>
      </c>
      <c r="AJ29" s="63" t="e">
        <f>Z44</f>
        <v>#REF!</v>
      </c>
      <c r="AK29" s="234" t="e">
        <f>AB44</f>
        <v>#REF!</v>
      </c>
      <c r="AL29" s="77" t="s">
        <v>147</v>
      </c>
      <c r="AM29" s="47" t="s">
        <v>146</v>
      </c>
      <c r="AN29" s="44" t="s">
        <v>127</v>
      </c>
      <c r="AO29" s="45" t="e">
        <f t="shared" si="4"/>
        <v>#REF!</v>
      </c>
      <c r="AP29" s="45" t="e">
        <f t="shared" si="5"/>
        <v>#REF!</v>
      </c>
      <c r="AQ29" s="45"/>
      <c r="AS29" s="16" t="str">
        <f>EINDRONDE!D14</f>
        <v>1e Poule F</v>
      </c>
      <c r="AT29" s="16">
        <f>COUNT(South_Korea_Played)</f>
        <v>1</v>
      </c>
      <c r="AU29" s="16">
        <f>COUNTIF(Groupstage_Winners,"South Korea")</f>
        <v>0</v>
      </c>
      <c r="AV29" s="16">
        <f>COUNTIF(Groupstage_Losers,"South Korea")</f>
        <v>0</v>
      </c>
      <c r="AW29" s="16">
        <f>AT29-(AU29+AV29)</f>
        <v>1</v>
      </c>
      <c r="AX29" s="16" t="e">
        <f>SUM(South_Korea_Played)</f>
        <v>#REF!</v>
      </c>
      <c r="AY29" s="16" t="e">
        <f>SUM(South_Korea_Against)</f>
        <v>#REF!</v>
      </c>
      <c r="AZ29" s="16" t="e">
        <f>AX29-AY29</f>
        <v>#REF!</v>
      </c>
      <c r="BA29" s="16">
        <f>SUM((AU29*3)+(AW29*1))</f>
        <v>1</v>
      </c>
      <c r="BB29" s="16" t="str">
        <f>IF($BA29&gt;=$BA30,$AS29,$AS30)</f>
        <v>1e Poule F</v>
      </c>
      <c r="BC29" s="16">
        <f>VLOOKUP($BB29,$AS29:$BA33,9,FALSE)</f>
        <v>1</v>
      </c>
      <c r="BD29" s="16" t="str">
        <f>IF($BC29&gt;=$BC31,$BB29,$BB31)</f>
        <v>1e Poule F</v>
      </c>
      <c r="BE29" s="16">
        <f>VLOOKUP($BD29,$AS29:$BA33,9,FALSE)</f>
        <v>1</v>
      </c>
      <c r="BF29" s="16" t="e">
        <f>IF($BE29&gt;=$BE33,$BD29,$BD33)</f>
        <v>#REF!</v>
      </c>
      <c r="BG29" s="16" t="e">
        <f>VLOOKUP($BF29,$AS29:$BA33,9,FALSE)</f>
        <v>#REF!</v>
      </c>
      <c r="BH29" s="16" t="e">
        <f>VLOOKUP($BF29,$AS29:$BA33,8,FALSE)</f>
        <v>#REF!</v>
      </c>
      <c r="BI29" s="16" t="e">
        <f>IF(AND($BG29=$BG30,$BH30&gt;$BH29),$BF30,$BF29)</f>
        <v>#REF!</v>
      </c>
      <c r="BJ29" s="16" t="e">
        <f>VLOOKUP($BI29,$AS29:$BA33,9,FALSE)</f>
        <v>#REF!</v>
      </c>
      <c r="BK29" s="16" t="e">
        <f>VLOOKUP($BI29,$AS29:$BA33,8,FALSE)</f>
        <v>#REF!</v>
      </c>
      <c r="BL29" s="16" t="e">
        <f>IF(AND($BJ29=$BJ31,$BK31&gt;$BK29),$BI31,$BI29)</f>
        <v>#REF!</v>
      </c>
      <c r="BM29" s="16" t="e">
        <f>VLOOKUP($BL29,$AS29:$BA33,9,FALSE)</f>
        <v>#REF!</v>
      </c>
      <c r="BN29" s="16" t="e">
        <f>VLOOKUP($BL29,$AS29:$BA33,8,FALSE)</f>
        <v>#REF!</v>
      </c>
      <c r="BO29" s="16" t="e">
        <f>IF(AND($BM29=$BM33,$BN33&gt;$BN29),$BL33,$BL29)</f>
        <v>#REF!</v>
      </c>
      <c r="BP29" s="16" t="e">
        <f>VLOOKUP($BO29,$AS29:$BA33,9,FALSE)</f>
        <v>#REF!</v>
      </c>
      <c r="BQ29" s="16" t="e">
        <f>VLOOKUP($BO29,$AS29:$BA33,8,FALSE)</f>
        <v>#REF!</v>
      </c>
      <c r="BR29" s="16" t="e">
        <f>VLOOKUP($BO29,$AS29:$BA33,6,FALSE)</f>
        <v>#REF!</v>
      </c>
      <c r="BS29" s="16" t="e">
        <f>IF(AND($BP29=$BP30,$BQ29=$BQ30,$BR30&gt;$BR29),$BO30,$BO29)</f>
        <v>#REF!</v>
      </c>
      <c r="BT29" s="16" t="e">
        <f>VLOOKUP($BS29,$AS29:$BA33,9,FALSE)</f>
        <v>#REF!</v>
      </c>
      <c r="BU29" s="16" t="e">
        <f>VLOOKUP($BS29,$AS29:$BA33,8,FALSE)</f>
        <v>#REF!</v>
      </c>
      <c r="BV29" s="16" t="e">
        <f>VLOOKUP($BS29,$AS29:$BA33,6,FALSE)</f>
        <v>#REF!</v>
      </c>
      <c r="BW29" s="16" t="e">
        <f>IF(AND($BT29=$BT31,$BU29=$BU31,$BV31&gt;$BV29),$BS31,$BS29)</f>
        <v>#REF!</v>
      </c>
      <c r="BX29" s="16" t="e">
        <f>VLOOKUP($BW29,$AS29:$BA33,9,FALSE)</f>
        <v>#REF!</v>
      </c>
      <c r="BY29" s="16" t="e">
        <f>VLOOKUP($BW29,$AS29:$BA33,8,FALSE)</f>
        <v>#REF!</v>
      </c>
      <c r="BZ29" s="16" t="e">
        <f>VLOOKUP($BW29,$AS29:$BA33,6,FALSE)</f>
        <v>#REF!</v>
      </c>
      <c r="CA29" s="16" t="e">
        <f>IF(AND($BX29=$BX33,$BY29=$BY33,$BZ33&gt;$BZ29),$BW33,$BW29)</f>
        <v>#REF!</v>
      </c>
      <c r="CB29" s="16" t="e">
        <f>VLOOKUP($CA29,$AS29:$BA33,9,FALSE)</f>
        <v>#REF!</v>
      </c>
      <c r="CC29" s="16" t="e">
        <f>VLOOKUP($CA29,$AS29:$BA33,8,FALSE)</f>
        <v>#REF!</v>
      </c>
      <c r="CD29" s="16" t="e">
        <f>VLOOKUP($CA29,$AS29:$BA33,6,FALSE)</f>
        <v>#REF!</v>
      </c>
      <c r="CH29" s="16" t="e">
        <f>CA29</f>
        <v>#REF!</v>
      </c>
      <c r="CI29" s="16" t="e">
        <f>VLOOKUP($CH29,$AS29:$BA33,2,FALSE)</f>
        <v>#REF!</v>
      </c>
      <c r="CJ29" s="16" t="e">
        <f>VLOOKUP($CH29,$AS29:$BA33,3,FALSE)</f>
        <v>#REF!</v>
      </c>
      <c r="CK29" s="16" t="e">
        <f>VLOOKUP($CH29,$AS29:$BA33,4,FALSE)</f>
        <v>#REF!</v>
      </c>
      <c r="CL29" s="16" t="e">
        <f>VLOOKUP($CH29,$AS29:$BA33,5,FALSE)</f>
        <v>#REF!</v>
      </c>
      <c r="CM29" s="16" t="e">
        <f>VLOOKUP($CH29,$AS29:$BA33,6,FALSE)</f>
        <v>#REF!</v>
      </c>
      <c r="CN29" s="16" t="e">
        <f>VLOOKUP($CH29,$AS29:$BA33,7,FALSE)</f>
        <v>#REF!</v>
      </c>
      <c r="CO29" s="16" t="e">
        <f>VLOOKUP($CH29,$AS29:$BA33,8,FALSE)</f>
        <v>#REF!</v>
      </c>
      <c r="CP29" s="16" t="e">
        <f>VLOOKUP($CH29,$AS29:$BA33,9,FALSE)</f>
        <v>#REF!</v>
      </c>
      <c r="CR29" s="21" t="e">
        <f>#REF!</f>
        <v>#REF!</v>
      </c>
    </row>
    <row r="30" spans="1:96" ht="12.95" customHeight="1" thickBot="1" x14ac:dyDescent="0.25">
      <c r="A30" s="520">
        <f>START!C22</f>
        <v>0.64583333333333337</v>
      </c>
      <c r="B30" s="518"/>
      <c r="C30" s="283"/>
      <c r="D30" s="24">
        <f>AS23</f>
        <v>0</v>
      </c>
      <c r="E30" s="283" t="s">
        <v>16</v>
      </c>
      <c r="F30" s="518" t="e">
        <f>AS24</f>
        <v>#REF!</v>
      </c>
      <c r="G30" s="518"/>
      <c r="H30" s="518"/>
      <c r="I30" s="165" t="e">
        <f>EINDRONDE!#REF!</f>
        <v>#REF!</v>
      </c>
      <c r="J30" s="334" t="s">
        <v>16</v>
      </c>
      <c r="K30" s="166" t="e">
        <f>EINDRONDE!#REF!</f>
        <v>#REF!</v>
      </c>
      <c r="L30" s="518"/>
      <c r="M30" s="518"/>
      <c r="N30" s="518"/>
      <c r="O30" s="518"/>
      <c r="P30" s="519"/>
      <c r="Q30" s="118"/>
      <c r="R30" s="520">
        <f>START!C22</f>
        <v>0.64583333333333337</v>
      </c>
      <c r="S30" s="518"/>
      <c r="T30" s="283"/>
      <c r="U30" s="24" t="e">
        <f>AS30</f>
        <v>#REF!</v>
      </c>
      <c r="V30" s="283" t="s">
        <v>16</v>
      </c>
      <c r="W30" s="518" t="str">
        <f>AS31</f>
        <v>Monnie Represent</v>
      </c>
      <c r="X30" s="518"/>
      <c r="Y30" s="518"/>
      <c r="Z30" s="165" t="e">
        <f>EINDRONDE!#REF!</f>
        <v>#REF!</v>
      </c>
      <c r="AA30" s="334" t="s">
        <v>16</v>
      </c>
      <c r="AB30" s="166" t="e">
        <f>EINDRONDE!#REF!</f>
        <v>#REF!</v>
      </c>
      <c r="AC30" s="518"/>
      <c r="AD30" s="518"/>
      <c r="AE30" s="518"/>
      <c r="AF30" s="518"/>
      <c r="AG30" s="519"/>
      <c r="AH30" s="65" t="s">
        <v>153</v>
      </c>
      <c r="AI30" s="63" t="s">
        <v>152</v>
      </c>
      <c r="AJ30" s="63">
        <f>Z14</f>
        <v>0</v>
      </c>
      <c r="AK30" s="234">
        <f>AB14</f>
        <v>0</v>
      </c>
      <c r="AL30" s="77" t="s">
        <v>162</v>
      </c>
      <c r="AM30" s="47" t="s">
        <v>163</v>
      </c>
      <c r="AN30" s="44" t="s">
        <v>154</v>
      </c>
      <c r="AO30" s="45" t="str">
        <f t="shared" si="4"/>
        <v>Draw</v>
      </c>
      <c r="AP30" s="45" t="str">
        <f t="shared" si="5"/>
        <v>Draw</v>
      </c>
      <c r="AQ30" s="45"/>
      <c r="AS30" s="16" t="e">
        <f>EINDRONDE!D15</f>
        <v>#REF!</v>
      </c>
      <c r="AT30" s="16">
        <f>COUNT(Poland_Played)</f>
        <v>1</v>
      </c>
      <c r="AU30" s="16">
        <f>COUNTIF(Groupstage_Winners,"Poland")</f>
        <v>0</v>
      </c>
      <c r="AV30" s="16">
        <f>COUNTIF(Groupstage_Losers,"Poland")</f>
        <v>0</v>
      </c>
      <c r="AW30" s="16">
        <f>AT30-(AU30+AV30)</f>
        <v>1</v>
      </c>
      <c r="AX30" s="16" t="e">
        <f>SUM(Poland_Played)</f>
        <v>#REF!</v>
      </c>
      <c r="AY30" s="16" t="e">
        <f>SUM(Poland_Against)</f>
        <v>#REF!</v>
      </c>
      <c r="AZ30" s="16" t="e">
        <f>AX30-AY30</f>
        <v>#REF!</v>
      </c>
      <c r="BA30" s="16">
        <f t="shared" ref="BA30:BA31" si="13">SUM((AU30*3)+(AW30*1))</f>
        <v>1</v>
      </c>
      <c r="BB30" s="16" t="e">
        <f>IF($BA30&lt;=$BA29,$AS30,$AS29)</f>
        <v>#REF!</v>
      </c>
      <c r="BC30" s="16" t="e">
        <f>VLOOKUP($BB30,$AS29:$BA33,9,FALSE)</f>
        <v>#REF!</v>
      </c>
      <c r="BD30" s="16" t="e">
        <f>IF(BC30&gt;=BC33,BB30,BB33)</f>
        <v>#REF!</v>
      </c>
      <c r="BE30" s="16" t="e">
        <f>VLOOKUP($BD30,$AS29:$BA33,9,FALSE)</f>
        <v>#REF!</v>
      </c>
      <c r="BF30" s="16" t="e">
        <f>IF($BE30&gt;=$BE31,$BD30,$BD31)</f>
        <v>#REF!</v>
      </c>
      <c r="BG30" s="16" t="e">
        <f>VLOOKUP($BF30,$AS29:$BA33,9,FALSE)</f>
        <v>#REF!</v>
      </c>
      <c r="BH30" s="16" t="e">
        <f>VLOOKUP($BF30,$AS29:$BA33,8,FALSE)</f>
        <v>#REF!</v>
      </c>
      <c r="BI30" s="16" t="e">
        <f>IF(AND($BG29=$BG30,$BH30&gt;$BH29),$BF29,$BF30)</f>
        <v>#REF!</v>
      </c>
      <c r="BJ30" s="16" t="e">
        <f>VLOOKUP($BI30,$AS29:$BA33,9,FALSE)</f>
        <v>#REF!</v>
      </c>
      <c r="BK30" s="16" t="e">
        <f>VLOOKUP($BI30,$AS29:$BA33,8,FALSE)</f>
        <v>#REF!</v>
      </c>
      <c r="BL30" s="16" t="e">
        <f>IF(AND($BJ30=$BJ33,$BK33&gt;$BK30),$BI33,$BI30)</f>
        <v>#REF!</v>
      </c>
      <c r="BM30" s="16" t="e">
        <f>VLOOKUP($BL30,$AS29:$BA33,9,FALSE)</f>
        <v>#REF!</v>
      </c>
      <c r="BN30" s="16" t="e">
        <f>VLOOKUP($BL30,$AS29:$BA33,8,FALSE)</f>
        <v>#REF!</v>
      </c>
      <c r="BO30" s="16" t="e">
        <f>IF(AND($BM30=$BM31,$BN31&gt;$BN30),$BL31,$BL30)</f>
        <v>#REF!</v>
      </c>
      <c r="BP30" s="16" t="e">
        <f>VLOOKUP($BO30,$AS29:$BA33,9,FALSE)</f>
        <v>#REF!</v>
      </c>
      <c r="BQ30" s="16" t="e">
        <f>VLOOKUP($BO30,$AS29:$BA33,8,FALSE)</f>
        <v>#REF!</v>
      </c>
      <c r="BR30" s="16" t="e">
        <f>VLOOKUP($BO30,$AS29:$BA33,6,FALSE)</f>
        <v>#REF!</v>
      </c>
      <c r="BS30" s="16" t="e">
        <f>IF(AND($BP29=$BP30,$BQ29=$BQ30,$BR30&gt;$BR29),$BO29,$BO30)</f>
        <v>#REF!</v>
      </c>
      <c r="BT30" s="16" t="e">
        <f>VLOOKUP($BS30,$AS29:$BA33,9,FALSE)</f>
        <v>#REF!</v>
      </c>
      <c r="BU30" s="16" t="e">
        <f>VLOOKUP($BS30,$AS29:$BA33,8,FALSE)</f>
        <v>#REF!</v>
      </c>
      <c r="BV30" s="16" t="e">
        <f>VLOOKUP($BS30,$AS29:$BA33,6,FALSE)</f>
        <v>#REF!</v>
      </c>
      <c r="BW30" s="16" t="e">
        <f>IF(AND($BT30=$BT33,$BU30=$BU33,$BV33&gt;$BV30),$BS33,$BS30)</f>
        <v>#REF!</v>
      </c>
      <c r="BX30" s="16" t="e">
        <f>VLOOKUP($BW30,$AS29:$BA33,9,FALSE)</f>
        <v>#REF!</v>
      </c>
      <c r="BY30" s="16" t="e">
        <f>VLOOKUP($BW30,$AS29:$BA33,8,FALSE)</f>
        <v>#REF!</v>
      </c>
      <c r="BZ30" s="16" t="e">
        <f>VLOOKUP($BW30,$AS29:$BA33,6,FALSE)</f>
        <v>#REF!</v>
      </c>
      <c r="CA30" s="16" t="e">
        <f>IF(AND($BX30=$BX31,$BY30=$BY31,$BZ31&gt;$BZ30),$BW31,$BW30)</f>
        <v>#REF!</v>
      </c>
      <c r="CB30" s="16" t="e">
        <f>VLOOKUP($CA30,$AS29:$BA33,9,FALSE)</f>
        <v>#REF!</v>
      </c>
      <c r="CC30" s="16" t="e">
        <f>VLOOKUP($CA30,$AS29:$BA33,8,FALSE)</f>
        <v>#REF!</v>
      </c>
      <c r="CD30" s="16" t="e">
        <f>VLOOKUP($CA30,$AS29:$BA33,6,FALSE)</f>
        <v>#REF!</v>
      </c>
      <c r="CH30" s="16" t="e">
        <f>CA30</f>
        <v>#REF!</v>
      </c>
      <c r="CI30" s="16" t="e">
        <f>VLOOKUP($CH30,$AS29:$BA33,2,FALSE)</f>
        <v>#REF!</v>
      </c>
      <c r="CJ30" s="16" t="e">
        <f>VLOOKUP($CH30,$AS29:$BA33,3,FALSE)</f>
        <v>#REF!</v>
      </c>
      <c r="CK30" s="16" t="e">
        <f>VLOOKUP($CH30,$AS29:$BA33,4,FALSE)</f>
        <v>#REF!</v>
      </c>
      <c r="CL30" s="16" t="e">
        <f>VLOOKUP($CH30,$AS29:$BA33,5,FALSE)</f>
        <v>#REF!</v>
      </c>
      <c r="CM30" s="16" t="e">
        <f>VLOOKUP($CH30,$AS29:$BA33,6,FALSE)</f>
        <v>#REF!</v>
      </c>
      <c r="CN30" s="16" t="e">
        <f>VLOOKUP($CH30,$AS29:$BA33,7,FALSE)</f>
        <v>#REF!</v>
      </c>
      <c r="CO30" s="16" t="e">
        <f>VLOOKUP($CH30,$AS29:$BA33,8,FALSE)</f>
        <v>#REF!</v>
      </c>
      <c r="CP30" s="16" t="e">
        <f>VLOOKUP($CH30,$AS29:$BA33,9,FALSE)</f>
        <v>#REF!</v>
      </c>
      <c r="CR30" s="21" t="e">
        <f>#REF!</f>
        <v>#REF!</v>
      </c>
    </row>
    <row r="31" spans="1:96" ht="12.95" customHeight="1" thickBot="1" x14ac:dyDescent="0.25">
      <c r="A31" s="528">
        <f>A30</f>
        <v>0.64583333333333337</v>
      </c>
      <c r="B31" s="529"/>
      <c r="C31" s="272"/>
      <c r="D31" s="30" t="e">
        <f>AS25</f>
        <v>#REF!</v>
      </c>
      <c r="E31" s="272" t="s">
        <v>16</v>
      </c>
      <c r="F31" s="529" t="str">
        <f>AS22</f>
        <v>1e Poule E</v>
      </c>
      <c r="G31" s="529"/>
      <c r="H31" s="529"/>
      <c r="I31" s="248" t="e">
        <f>EINDRONDE!#REF!</f>
        <v>#REF!</v>
      </c>
      <c r="J31" s="247" t="s">
        <v>16</v>
      </c>
      <c r="K31" s="249" t="e">
        <f>EINDRONDE!#REF!</f>
        <v>#REF!</v>
      </c>
      <c r="L31" s="529"/>
      <c r="M31" s="529"/>
      <c r="N31" s="529"/>
      <c r="O31" s="529"/>
      <c r="P31" s="530"/>
      <c r="Q31" s="118"/>
      <c r="R31" s="528">
        <f>R30</f>
        <v>0.64583333333333337</v>
      </c>
      <c r="S31" s="529"/>
      <c r="T31" s="272"/>
      <c r="U31" s="30" t="str">
        <f>AS33</f>
        <v>2e Beste nrs. 3</v>
      </c>
      <c r="V31" s="272" t="s">
        <v>16</v>
      </c>
      <c r="W31" s="529" t="str">
        <f>AS29</f>
        <v>1e Poule F</v>
      </c>
      <c r="X31" s="529"/>
      <c r="Y31" s="529"/>
      <c r="Z31" s="248" t="e">
        <f>EINDRONDE!#REF!</f>
        <v>#REF!</v>
      </c>
      <c r="AA31" s="247" t="s">
        <v>16</v>
      </c>
      <c r="AB31" s="249" t="e">
        <f>EINDRONDE!#REF!</f>
        <v>#REF!</v>
      </c>
      <c r="AC31" s="529"/>
      <c r="AD31" s="529"/>
      <c r="AE31" s="529"/>
      <c r="AF31" s="529"/>
      <c r="AG31" s="530"/>
      <c r="AH31" s="65" t="s">
        <v>173</v>
      </c>
      <c r="AI31" s="63" t="s">
        <v>174</v>
      </c>
      <c r="AJ31" s="63">
        <f>I59</f>
        <v>0</v>
      </c>
      <c r="AK31" s="234">
        <f>K59</f>
        <v>0</v>
      </c>
      <c r="AL31" s="77" t="s">
        <v>165</v>
      </c>
      <c r="AM31" s="47" t="s">
        <v>164</v>
      </c>
      <c r="AN31" s="44" t="s">
        <v>111</v>
      </c>
      <c r="AO31" s="45" t="str">
        <f t="shared" si="4"/>
        <v>Draw</v>
      </c>
      <c r="AP31" s="45" t="str">
        <f t="shared" si="5"/>
        <v>Draw</v>
      </c>
      <c r="AQ31" s="45"/>
      <c r="AS31" s="16" t="str">
        <f>EINDRONDE!D16</f>
        <v>Monnie Represent</v>
      </c>
      <c r="AT31" s="16">
        <f>COUNT(USA_Played)</f>
        <v>1</v>
      </c>
      <c r="AU31" s="16">
        <f>COUNTIF(Groupstage_Winners,"USA")</f>
        <v>0</v>
      </c>
      <c r="AV31" s="16">
        <f>COUNTIF(Groupstage_Losers,"USA")</f>
        <v>0</v>
      </c>
      <c r="AW31" s="16">
        <f>AT31-(AU31+AV31)</f>
        <v>1</v>
      </c>
      <c r="AX31" s="16" t="e">
        <f>SUM(USA_Played)</f>
        <v>#REF!</v>
      </c>
      <c r="AY31" s="16" t="e">
        <f>SUM(USA_Against)</f>
        <v>#REF!</v>
      </c>
      <c r="AZ31" s="16" t="e">
        <f>AX31-AY31</f>
        <v>#REF!</v>
      </c>
      <c r="BA31" s="16">
        <f t="shared" si="13"/>
        <v>1</v>
      </c>
      <c r="BB31" s="16" t="str">
        <f>IF($BA31&gt;=$BA33,$AS31,$AS33)</f>
        <v>Monnie Represent</v>
      </c>
      <c r="BC31" s="16">
        <f>VLOOKUP($BB31,$AS29:$BA33,9,FALSE)</f>
        <v>1</v>
      </c>
      <c r="BD31" s="16" t="str">
        <f>IF($BC31&lt;=$BC29,$BB31,$BB29)</f>
        <v>Monnie Represent</v>
      </c>
      <c r="BE31" s="16">
        <f>VLOOKUP($BD31,$AS29:$BA33,9,FALSE)</f>
        <v>1</v>
      </c>
      <c r="BF31" s="16" t="e">
        <f>IF($BE31&lt;=$BE30,$BD31,$BD30)</f>
        <v>#REF!</v>
      </c>
      <c r="BG31" s="16" t="e">
        <f>VLOOKUP($BF31,$AS29:$BA33,9,FALSE)</f>
        <v>#REF!</v>
      </c>
      <c r="BH31" s="16" t="e">
        <f>VLOOKUP($BF31,$AS29:$BA33,8,FALSE)</f>
        <v>#REF!</v>
      </c>
      <c r="BI31" s="16" t="e">
        <f>IF(AND($BG31=$BG33,$BH33&gt;$BH31),$BF33,$BF31)</f>
        <v>#REF!</v>
      </c>
      <c r="BJ31" s="16" t="e">
        <f>VLOOKUP($BI31,$AS29:$BA33,9,FALSE)</f>
        <v>#REF!</v>
      </c>
      <c r="BK31" s="16" t="e">
        <f>VLOOKUP($BI31,$AS29:$BA33,8,FALSE)</f>
        <v>#REF!</v>
      </c>
      <c r="BL31" s="16" t="e">
        <f>IF(AND($BJ29=$BJ31,$BK31&gt;$BK29),$BI29,$BI31)</f>
        <v>#REF!</v>
      </c>
      <c r="BM31" s="16" t="e">
        <f>VLOOKUP($BL31,$AS29:$BA33,9,FALSE)</f>
        <v>#REF!</v>
      </c>
      <c r="BN31" s="16" t="e">
        <f>VLOOKUP($BL31,$AS29:$BA33,8,FALSE)</f>
        <v>#REF!</v>
      </c>
      <c r="BO31" s="16" t="e">
        <f>IF(AND($BM30=$BM31,$BN31&gt;$BN30),$BL30,$BL31)</f>
        <v>#REF!</v>
      </c>
      <c r="BP31" s="16" t="e">
        <f>VLOOKUP($BO31,$AS29:$BA33,9,FALSE)</f>
        <v>#REF!</v>
      </c>
      <c r="BQ31" s="16" t="e">
        <f>VLOOKUP($BO31,$AS29:$BA33,8,FALSE)</f>
        <v>#REF!</v>
      </c>
      <c r="BR31" s="16" t="e">
        <f>VLOOKUP($BO31,$AS29:$BA33,6,FALSE)</f>
        <v>#REF!</v>
      </c>
      <c r="BS31" s="16" t="e">
        <f>IF(AND($BP31=$BP33,$BQ31=$BQ33,$BR33&gt;$BR31),$BO33,$BO31)</f>
        <v>#REF!</v>
      </c>
      <c r="BT31" s="16" t="e">
        <f>VLOOKUP($BS31,$AS29:$BA33,9,FALSE)</f>
        <v>#REF!</v>
      </c>
      <c r="BU31" s="16" t="e">
        <f>VLOOKUP($BS31,$AS29:$BA33,8,FALSE)</f>
        <v>#REF!</v>
      </c>
      <c r="BV31" s="16" t="e">
        <f>VLOOKUP($BS31,$AS29:$BA33,6,FALSE)</f>
        <v>#REF!</v>
      </c>
      <c r="BW31" s="16" t="e">
        <f>IF(AND($BT29=$BT31,$BU29=$BU31,$BV30&gt;$BV29),$BS29,$BS31)</f>
        <v>#REF!</v>
      </c>
      <c r="BX31" s="16" t="e">
        <f>VLOOKUP($BW31,$AS29:$BA33,9,FALSE)</f>
        <v>#REF!</v>
      </c>
      <c r="BY31" s="16" t="e">
        <f>VLOOKUP($BW31,$AS29:$BA33,8,FALSE)</f>
        <v>#REF!</v>
      </c>
      <c r="BZ31" s="16" t="e">
        <f>VLOOKUP($BW31,$AS29:$BA33,6,FALSE)</f>
        <v>#REF!</v>
      </c>
      <c r="CA31" s="16" t="e">
        <f>IF(AND($BX30=$BX31,$BY30=$BY31,$BZ31&gt;$BZ30),$BW30,$BW31)</f>
        <v>#REF!</v>
      </c>
      <c r="CB31" s="16" t="e">
        <f>VLOOKUP($CA31,$AS29:$BA33,9,FALSE)</f>
        <v>#REF!</v>
      </c>
      <c r="CC31" s="16" t="e">
        <f>VLOOKUP($CA31,$AS29:$BA33,8,FALSE)</f>
        <v>#REF!</v>
      </c>
      <c r="CD31" s="16" t="e">
        <f>VLOOKUP($CA31,$AS29:$BA33,6,FALSE)</f>
        <v>#REF!</v>
      </c>
      <c r="CH31" s="16" t="e">
        <f>CA31</f>
        <v>#REF!</v>
      </c>
      <c r="CI31" s="16" t="e">
        <f>VLOOKUP($CH31,$AS29:$BA33,2,FALSE)</f>
        <v>#REF!</v>
      </c>
      <c r="CJ31" s="16" t="e">
        <f>VLOOKUP($CH31,$AS29:$BA33,3,FALSE)</f>
        <v>#REF!</v>
      </c>
      <c r="CK31" s="16" t="e">
        <f>VLOOKUP($CH31,$AS29:$BA33,4,FALSE)</f>
        <v>#REF!</v>
      </c>
      <c r="CL31" s="16" t="e">
        <f>VLOOKUP($CH31,$AS29:$BA33,5,FALSE)</f>
        <v>#REF!</v>
      </c>
      <c r="CM31" s="16" t="e">
        <f>VLOOKUP($CH31,$AS29:$BA33,6,FALSE)</f>
        <v>#REF!</v>
      </c>
      <c r="CN31" s="16" t="e">
        <f>VLOOKUP($CH31,$AS29:$BA33,7,FALSE)</f>
        <v>#REF!</v>
      </c>
      <c r="CO31" s="16" t="e">
        <f>VLOOKUP($CH31,$AS29:$BA33,8,FALSE)</f>
        <v>#REF!</v>
      </c>
      <c r="CP31" s="16" t="e">
        <f>VLOOKUP($CH31,$AS29:$BA33,9,FALSE)</f>
        <v>#REF!</v>
      </c>
      <c r="CR31" s="21" t="e">
        <f>#REF!</f>
        <v>#REF!</v>
      </c>
    </row>
    <row r="32" spans="1:96" ht="34.5" thickBot="1" x14ac:dyDescent="0.55000000000000004">
      <c r="A32" s="550" t="s">
        <v>226</v>
      </c>
      <c r="B32" s="550"/>
      <c r="C32" s="550"/>
      <c r="D32" s="550"/>
      <c r="E32" s="550"/>
      <c r="F32" s="550"/>
      <c r="G32" s="550"/>
      <c r="H32" s="550"/>
      <c r="I32" s="550"/>
      <c r="J32" s="550"/>
      <c r="K32" s="550"/>
      <c r="L32" s="550"/>
      <c r="M32" s="550"/>
      <c r="N32" s="550"/>
      <c r="O32" s="550"/>
      <c r="P32" s="550"/>
      <c r="Q32" s="550"/>
      <c r="R32" s="550"/>
      <c r="S32" s="550"/>
      <c r="T32" s="550"/>
      <c r="U32" s="550"/>
      <c r="V32" s="550"/>
      <c r="W32" s="550"/>
      <c r="X32" s="550"/>
      <c r="Y32" s="550"/>
      <c r="Z32" s="550"/>
      <c r="AA32" s="550"/>
      <c r="AB32" s="550"/>
      <c r="AC32" s="550"/>
      <c r="AD32" s="550"/>
      <c r="AE32" s="550"/>
      <c r="AF32" s="550"/>
      <c r="AG32" s="550"/>
      <c r="AH32" s="63"/>
      <c r="AJ32" s="237"/>
      <c r="AK32" s="60"/>
      <c r="AL32" s="60"/>
      <c r="AM32" s="53"/>
      <c r="AN32" s="17"/>
      <c r="AO32" s="17"/>
      <c r="AP32" s="17"/>
      <c r="AQ32" s="17"/>
    </row>
    <row r="33" spans="1:96" ht="13.5" thickBot="1" x14ac:dyDescent="0.2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65" t="s">
        <v>168</v>
      </c>
      <c r="AI33" s="63" t="s">
        <v>169</v>
      </c>
      <c r="AJ33" s="63">
        <f>I28</f>
        <v>1</v>
      </c>
      <c r="AK33" s="234">
        <f>K28</f>
        <v>1</v>
      </c>
      <c r="AL33" s="77" t="s">
        <v>178</v>
      </c>
      <c r="AM33" s="47" t="s">
        <v>177</v>
      </c>
      <c r="AN33" s="44" t="s">
        <v>172</v>
      </c>
      <c r="AO33" s="45" t="str">
        <f t="shared" si="4"/>
        <v>Draw</v>
      </c>
      <c r="AP33" s="45" t="str">
        <f t="shared" si="5"/>
        <v>Draw</v>
      </c>
      <c r="AQ33" s="45"/>
      <c r="AS33" s="16" t="str">
        <f>EINDRONDE!D17</f>
        <v>2e Beste nrs. 3</v>
      </c>
      <c r="AT33" s="16">
        <f>COUNT(Portugal_Played)</f>
        <v>1</v>
      </c>
      <c r="AU33" s="16">
        <f>COUNTIF(Groupstage_Winners,"Portugal")</f>
        <v>0</v>
      </c>
      <c r="AV33" s="16">
        <f>COUNTIF(Groupstage_Losers,"Portugal")</f>
        <v>0</v>
      </c>
      <c r="AW33" s="16">
        <f>AT33-(AU33+AV33)</f>
        <v>1</v>
      </c>
      <c r="AX33" s="16" t="e">
        <f>SUM(Portugal_Played)</f>
        <v>#REF!</v>
      </c>
      <c r="AY33" s="16" t="e">
        <f>SUM(Portugal_Against)</f>
        <v>#REF!</v>
      </c>
      <c r="AZ33" s="16" t="e">
        <f>AX33-AY33</f>
        <v>#REF!</v>
      </c>
      <c r="BA33" s="16">
        <f>SUM((AU33*3)+(AW33*1))</f>
        <v>1</v>
      </c>
      <c r="BB33" s="16" t="str">
        <f>IF($BA33&lt;=$BA31,$AS33,$AS31)</f>
        <v>2e Beste nrs. 3</v>
      </c>
      <c r="BC33" s="16">
        <f>VLOOKUP($BB33,$AS29:$BA33,9,FALSE)</f>
        <v>1</v>
      </c>
      <c r="BD33" s="16" t="e">
        <f>IF(BC33&lt;=BC30,BB33,BB30)</f>
        <v>#REF!</v>
      </c>
      <c r="BE33" s="16" t="e">
        <f>VLOOKUP($BD33,$AS29:$BA33,9,FALSE)</f>
        <v>#REF!</v>
      </c>
      <c r="BF33" s="16" t="e">
        <f>IF($BE33&lt;=$BE29,$BD33,$BD29)</f>
        <v>#REF!</v>
      </c>
      <c r="BG33" s="16" t="e">
        <f>VLOOKUP($BF33,$AS29:$BA33,9,FALSE)</f>
        <v>#REF!</v>
      </c>
      <c r="BH33" s="16" t="e">
        <f>VLOOKUP($BF33,$AS29:$BA33,8,FALSE)</f>
        <v>#REF!</v>
      </c>
      <c r="BI33" s="16" t="e">
        <f>IF(AND($BG31=$BG33,$BH33&gt;$BH31),$BF31,$BF33)</f>
        <v>#REF!</v>
      </c>
      <c r="BJ33" s="16" t="e">
        <f>VLOOKUP($BI33,$AS29:$BA33,9,FALSE)</f>
        <v>#REF!</v>
      </c>
      <c r="BK33" s="16" t="e">
        <f>VLOOKUP($BI33,$AS29:$BA33,8,FALSE)</f>
        <v>#REF!</v>
      </c>
      <c r="BL33" s="16" t="e">
        <f>IF(AND($BJ30=$BJ33,$BK33&gt;$BK30),$BI30,$BI33)</f>
        <v>#REF!</v>
      </c>
      <c r="BM33" s="16" t="e">
        <f>VLOOKUP($BL33,$AS29:$BA33,9,FALSE)</f>
        <v>#REF!</v>
      </c>
      <c r="BN33" s="16" t="e">
        <f>VLOOKUP($BL33,$AS29:$BA33,8,FALSE)</f>
        <v>#REF!</v>
      </c>
      <c r="BO33" s="16" t="e">
        <f>IF(AND($BM29=$BM33,$BN33&gt;$BN29),$BL29,$BL33)</f>
        <v>#REF!</v>
      </c>
      <c r="BP33" s="16" t="e">
        <f>VLOOKUP($BO33,$AS29:$BA33,9,FALSE)</f>
        <v>#REF!</v>
      </c>
      <c r="BQ33" s="16" t="e">
        <f>VLOOKUP($BO33,$AS29:$BA33,8,FALSE)</f>
        <v>#REF!</v>
      </c>
      <c r="BR33" s="16" t="e">
        <f>VLOOKUP($BO33,$AS29:$BA33,6,FALSE)</f>
        <v>#REF!</v>
      </c>
      <c r="BS33" s="16" t="e">
        <f>IF(AND($BP31=$BP33,$BQ31=$BQ33,$BR33&gt;$BR31),$BO31,$BO33)</f>
        <v>#REF!</v>
      </c>
      <c r="BT33" s="16" t="e">
        <f>VLOOKUP($BS33,$AS29:$BA33,9,FALSE)</f>
        <v>#REF!</v>
      </c>
      <c r="BU33" s="16" t="e">
        <f>VLOOKUP($BS33,$AS29:$BA33,8,FALSE)</f>
        <v>#REF!</v>
      </c>
      <c r="BV33" s="16" t="e">
        <f>VLOOKUP($BS33,$AS29:$BA33,6,FALSE)</f>
        <v>#REF!</v>
      </c>
      <c r="BW33" s="16" t="e">
        <f>IF(AND($BT30=$BT33,$BU30=$BU33,$BV33&gt;$BV30),$BS30,$BS33)</f>
        <v>#REF!</v>
      </c>
      <c r="BX33" s="16" t="e">
        <f>VLOOKUP($BW33,$AS29:$BA33,9,FALSE)</f>
        <v>#REF!</v>
      </c>
      <c r="BY33" s="16" t="e">
        <f>VLOOKUP($BW33,$AS29:$BA33,8,FALSE)</f>
        <v>#REF!</v>
      </c>
      <c r="BZ33" s="16" t="e">
        <f>VLOOKUP($BW33,$AS29:$BA33,6,FALSE)</f>
        <v>#REF!</v>
      </c>
      <c r="CA33" s="16" t="e">
        <f>IF(AND($BX29=$BX33,$BY29=$BY33,$BZ33&gt;$BZ29),$BW29,$BW33)</f>
        <v>#REF!</v>
      </c>
      <c r="CB33" s="16" t="e">
        <f>VLOOKUP($CA33,$AS29:$BA33,9,FALSE)</f>
        <v>#REF!</v>
      </c>
      <c r="CC33" s="16" t="e">
        <f>VLOOKUP($CA33,$AS29:$BA33,8,FALSE)</f>
        <v>#REF!</v>
      </c>
      <c r="CD33" s="16" t="e">
        <f>VLOOKUP($CA33,$AS29:$BA33,6,FALSE)</f>
        <v>#REF!</v>
      </c>
      <c r="CH33" s="16" t="e">
        <f>CA33</f>
        <v>#REF!</v>
      </c>
      <c r="CI33" s="16" t="e">
        <f>VLOOKUP($CH33,$AS29:$BA33,2,FALSE)</f>
        <v>#REF!</v>
      </c>
      <c r="CJ33" s="16" t="e">
        <f>VLOOKUP($CH33,$AS29:$BA33,3,FALSE)</f>
        <v>#REF!</v>
      </c>
      <c r="CK33" s="16" t="e">
        <f>VLOOKUP($CH33,$AS29:$BA33,4,FALSE)</f>
        <v>#REF!</v>
      </c>
      <c r="CL33" s="16" t="e">
        <f>VLOOKUP($CH33,$AS29:$BA33,5,FALSE)</f>
        <v>#REF!</v>
      </c>
      <c r="CM33" s="16" t="e">
        <f>VLOOKUP($CH33,$AS29:$BA33,6,FALSE)</f>
        <v>#REF!</v>
      </c>
      <c r="CN33" s="16" t="e">
        <f>VLOOKUP($CH33,$AS29:$BA33,7,FALSE)</f>
        <v>#REF!</v>
      </c>
      <c r="CO33" s="16" t="e">
        <f>VLOOKUP($CH33,$AS29:$BA33,8,FALSE)</f>
        <v>#REF!</v>
      </c>
      <c r="CP33" s="16" t="e">
        <f>VLOOKUP($CH33,$AS29:$BA33,9,FALSE)</f>
        <v>#REF!</v>
      </c>
      <c r="CR33" s="21" t="e">
        <f>#REF!</f>
        <v>#REF!</v>
      </c>
    </row>
    <row r="34" spans="1:96" ht="18.75" thickBot="1" x14ac:dyDescent="0.3">
      <c r="A34" s="536" t="s">
        <v>227</v>
      </c>
      <c r="B34" s="524"/>
      <c r="C34" s="524"/>
      <c r="D34" s="524"/>
      <c r="E34" s="524"/>
      <c r="F34" s="524"/>
      <c r="G34" s="524"/>
      <c r="H34" s="524"/>
      <c r="I34" s="524"/>
      <c r="J34" s="524"/>
      <c r="K34" s="524"/>
      <c r="L34" s="524"/>
      <c r="M34" s="534"/>
      <c r="N34" s="534"/>
      <c r="O34" s="534"/>
      <c r="P34" s="535"/>
      <c r="R34" s="523" t="s">
        <v>228</v>
      </c>
      <c r="S34" s="524"/>
      <c r="T34" s="524"/>
      <c r="U34" s="524"/>
      <c r="V34" s="524"/>
      <c r="W34" s="524"/>
      <c r="X34" s="524"/>
      <c r="Y34" s="524"/>
      <c r="Z34" s="524"/>
      <c r="AA34" s="524"/>
      <c r="AB34" s="524"/>
      <c r="AC34" s="524"/>
      <c r="AD34" s="524"/>
      <c r="AE34" s="524"/>
      <c r="AF34" s="524"/>
      <c r="AG34" s="525"/>
      <c r="AH34" s="63" t="s">
        <v>167</v>
      </c>
      <c r="AI34" s="63" t="s">
        <v>166</v>
      </c>
      <c r="AJ34" s="63">
        <f>I60</f>
        <v>0</v>
      </c>
      <c r="AK34" s="234">
        <f>K60</f>
        <v>0</v>
      </c>
      <c r="AL34" s="77" t="s">
        <v>175</v>
      </c>
      <c r="AM34" s="48" t="s">
        <v>176</v>
      </c>
      <c r="AN34" s="44" t="s">
        <v>111</v>
      </c>
      <c r="AO34" s="45" t="str">
        <f t="shared" si="4"/>
        <v>Draw</v>
      </c>
      <c r="AP34" s="45" t="str">
        <f t="shared" si="5"/>
        <v>Draw</v>
      </c>
      <c r="AQ34" s="45"/>
      <c r="CR34" s="21" t="e">
        <f>#REF!</f>
        <v>#REF!</v>
      </c>
    </row>
    <row r="35" spans="1:96" ht="12.95" customHeight="1" thickBot="1" x14ac:dyDescent="0.25">
      <c r="A35" s="28"/>
      <c r="B35" s="24"/>
      <c r="C35" s="24"/>
      <c r="D35" s="24"/>
      <c r="E35" s="24"/>
      <c r="F35" s="24"/>
      <c r="G35" s="338" t="s">
        <v>109</v>
      </c>
      <c r="H35" s="338" t="s">
        <v>110</v>
      </c>
      <c r="I35" s="338" t="s">
        <v>111</v>
      </c>
      <c r="J35" s="522" t="s">
        <v>112</v>
      </c>
      <c r="K35" s="522"/>
      <c r="L35" s="522" t="s">
        <v>113</v>
      </c>
      <c r="M35" s="531"/>
      <c r="N35" s="531"/>
      <c r="O35" s="338" t="str">
        <f>T("+/-")</f>
        <v>+/-</v>
      </c>
      <c r="P35" s="245" t="s">
        <v>114</v>
      </c>
      <c r="R35" s="28"/>
      <c r="X35" s="338" t="s">
        <v>109</v>
      </c>
      <c r="Y35" s="338" t="s">
        <v>110</v>
      </c>
      <c r="Z35" s="338" t="s">
        <v>111</v>
      </c>
      <c r="AA35" s="522" t="s">
        <v>112</v>
      </c>
      <c r="AB35" s="522"/>
      <c r="AC35" s="522" t="s">
        <v>113</v>
      </c>
      <c r="AD35" s="522"/>
      <c r="AE35" s="522"/>
      <c r="AF35" s="338" t="str">
        <f>T("+/-")</f>
        <v>+/-</v>
      </c>
      <c r="AG35" s="245" t="s">
        <v>114</v>
      </c>
      <c r="AH35" s="65" t="s">
        <v>180</v>
      </c>
      <c r="AI35" s="63" t="s">
        <v>179</v>
      </c>
      <c r="AJ35" s="63" t="e">
        <f>I29</f>
        <v>#REF!</v>
      </c>
      <c r="AK35" s="234" t="e">
        <f>K29</f>
        <v>#REF!</v>
      </c>
      <c r="AL35" s="77" t="s">
        <v>170</v>
      </c>
      <c r="AM35" s="47" t="s">
        <v>171</v>
      </c>
      <c r="AN35" s="44" t="s">
        <v>172</v>
      </c>
      <c r="AO35" s="45" t="e">
        <f t="shared" si="4"/>
        <v>#REF!</v>
      </c>
      <c r="AP35" s="45" t="e">
        <f t="shared" si="5"/>
        <v>#REF!</v>
      </c>
      <c r="AQ35" s="45"/>
      <c r="CR35" s="21" t="e">
        <f>#REF!</f>
        <v>#REF!</v>
      </c>
    </row>
    <row r="36" spans="1:96" ht="12.95" customHeight="1" thickBot="1" x14ac:dyDescent="0.25">
      <c r="A36" s="516" t="s">
        <v>220</v>
      </c>
      <c r="B36" s="517"/>
      <c r="C36" s="118" t="e">
        <f>CH39</f>
        <v>#REF!</v>
      </c>
      <c r="D36" s="118"/>
      <c r="E36" s="118"/>
      <c r="F36" s="118"/>
      <c r="G36" s="334" t="e">
        <f t="shared" ref="G36:H39" si="14">CI39</f>
        <v>#REF!</v>
      </c>
      <c r="H36" s="334" t="e">
        <f t="shared" si="14"/>
        <v>#REF!</v>
      </c>
      <c r="I36" s="334" t="e">
        <f>CL39</f>
        <v>#REF!</v>
      </c>
      <c r="J36" s="513" t="e">
        <f>CK39</f>
        <v>#REF!</v>
      </c>
      <c r="K36" s="513"/>
      <c r="L36" s="167" t="e">
        <f>CM39</f>
        <v>#REF!</v>
      </c>
      <c r="M36" s="334" t="s">
        <v>16</v>
      </c>
      <c r="N36" s="282" t="e">
        <f t="shared" ref="N36:O39" si="15">CN39</f>
        <v>#REF!</v>
      </c>
      <c r="O36" s="334" t="e">
        <f t="shared" si="15"/>
        <v>#REF!</v>
      </c>
      <c r="P36" s="306" t="e">
        <f>SUM(H36*3+I36*1)</f>
        <v>#REF!</v>
      </c>
      <c r="Q36" s="167"/>
      <c r="R36" s="516" t="s">
        <v>220</v>
      </c>
      <c r="S36" s="517"/>
      <c r="T36" s="118" t="e">
        <f>CH46</f>
        <v>#REF!</v>
      </c>
      <c r="U36" s="118"/>
      <c r="V36" s="118"/>
      <c r="W36" s="118"/>
      <c r="X36" s="334" t="e">
        <f t="shared" ref="X36:Y39" si="16">CI46</f>
        <v>#REF!</v>
      </c>
      <c r="Y36" s="334" t="e">
        <f t="shared" si="16"/>
        <v>#REF!</v>
      </c>
      <c r="Z36" s="334" t="e">
        <f>CL46</f>
        <v>#REF!</v>
      </c>
      <c r="AA36" s="513" t="e">
        <f>CK46</f>
        <v>#REF!</v>
      </c>
      <c r="AB36" s="513"/>
      <c r="AC36" s="167" t="e">
        <f>CM46</f>
        <v>#REF!</v>
      </c>
      <c r="AD36" s="334" t="s">
        <v>16</v>
      </c>
      <c r="AE36" s="282" t="e">
        <f t="shared" ref="AE36:AF39" si="17">CN46</f>
        <v>#REF!</v>
      </c>
      <c r="AF36" s="334" t="e">
        <f t="shared" si="17"/>
        <v>#REF!</v>
      </c>
      <c r="AG36" s="306" t="e">
        <f>SUM(Y36*3+Z36*1)</f>
        <v>#REF!</v>
      </c>
      <c r="AH36" s="63" t="s">
        <v>181</v>
      </c>
      <c r="AI36" s="63" t="s">
        <v>182</v>
      </c>
      <c r="AJ36" s="63">
        <f>Z59</f>
        <v>0</v>
      </c>
      <c r="AK36" s="234">
        <f>AB59</f>
        <v>0</v>
      </c>
      <c r="AL36" s="77" t="s">
        <v>194</v>
      </c>
      <c r="AM36" s="48" t="s">
        <v>193</v>
      </c>
      <c r="AN36" s="44" t="s">
        <v>185</v>
      </c>
      <c r="AO36" s="45" t="str">
        <f t="shared" si="4"/>
        <v>Draw</v>
      </c>
      <c r="AP36" s="45" t="str">
        <f t="shared" si="5"/>
        <v>Draw</v>
      </c>
      <c r="AQ36" s="45"/>
      <c r="CR36" s="21" t="e">
        <f>#REF!</f>
        <v>#REF!</v>
      </c>
    </row>
    <row r="37" spans="1:96" ht="12.95" customHeight="1" thickBot="1" x14ac:dyDescent="0.25">
      <c r="A37" s="516" t="s">
        <v>221</v>
      </c>
      <c r="B37" s="517"/>
      <c r="C37" s="118" t="e">
        <f>CH40</f>
        <v>#REF!</v>
      </c>
      <c r="D37" s="118"/>
      <c r="E37" s="118"/>
      <c r="F37" s="118"/>
      <c r="G37" s="334" t="e">
        <f t="shared" si="14"/>
        <v>#REF!</v>
      </c>
      <c r="H37" s="334" t="e">
        <f t="shared" si="14"/>
        <v>#REF!</v>
      </c>
      <c r="I37" s="334" t="e">
        <f>CL40</f>
        <v>#REF!</v>
      </c>
      <c r="J37" s="513" t="e">
        <f>CK40</f>
        <v>#REF!</v>
      </c>
      <c r="K37" s="513"/>
      <c r="L37" s="167" t="e">
        <f>CM40</f>
        <v>#REF!</v>
      </c>
      <c r="M37" s="334" t="s">
        <v>16</v>
      </c>
      <c r="N37" s="282" t="e">
        <f t="shared" si="15"/>
        <v>#REF!</v>
      </c>
      <c r="O37" s="334" t="e">
        <f t="shared" si="15"/>
        <v>#REF!</v>
      </c>
      <c r="P37" s="306" t="e">
        <f>SUM(H37*3+I37*1)</f>
        <v>#REF!</v>
      </c>
      <c r="Q37" s="167"/>
      <c r="R37" s="516" t="s">
        <v>221</v>
      </c>
      <c r="S37" s="517"/>
      <c r="T37" s="118" t="e">
        <f>CH47</f>
        <v>#REF!</v>
      </c>
      <c r="U37" s="118"/>
      <c r="V37" s="118"/>
      <c r="W37" s="118"/>
      <c r="X37" s="334" t="e">
        <f t="shared" si="16"/>
        <v>#REF!</v>
      </c>
      <c r="Y37" s="334" t="e">
        <f t="shared" si="16"/>
        <v>#REF!</v>
      </c>
      <c r="Z37" s="334" t="e">
        <f>CL47</f>
        <v>#REF!</v>
      </c>
      <c r="AA37" s="513" t="e">
        <f>CK47</f>
        <v>#REF!</v>
      </c>
      <c r="AB37" s="513"/>
      <c r="AC37" s="167" t="e">
        <f>CM47</f>
        <v>#REF!</v>
      </c>
      <c r="AD37" s="334" t="s">
        <v>16</v>
      </c>
      <c r="AE37" s="282" t="e">
        <f t="shared" si="17"/>
        <v>#REF!</v>
      </c>
      <c r="AF37" s="334" t="e">
        <f t="shared" si="17"/>
        <v>#REF!</v>
      </c>
      <c r="AG37" s="306" t="e">
        <f>SUM(Y37*3+Z37*1)</f>
        <v>#REF!</v>
      </c>
      <c r="AH37" s="63" t="s">
        <v>187</v>
      </c>
      <c r="AI37" s="63" t="s">
        <v>188</v>
      </c>
      <c r="AJ37" s="63">
        <f>Z28</f>
        <v>0</v>
      </c>
      <c r="AK37" s="234">
        <f>AB28</f>
        <v>0</v>
      </c>
      <c r="AL37" s="77" t="s">
        <v>199</v>
      </c>
      <c r="AM37" s="48" t="s">
        <v>198</v>
      </c>
      <c r="AN37" s="44" t="s">
        <v>126</v>
      </c>
      <c r="AO37" s="45" t="str">
        <f t="shared" si="4"/>
        <v>Draw</v>
      </c>
      <c r="AP37" s="45" t="str">
        <f t="shared" si="5"/>
        <v>Draw</v>
      </c>
      <c r="AQ37" s="45"/>
      <c r="AS37" s="16" t="s">
        <v>206</v>
      </c>
      <c r="CR37" s="21" t="e">
        <f>#REF!</f>
        <v>#REF!</v>
      </c>
    </row>
    <row r="38" spans="1:96" ht="12.95" customHeight="1" thickBot="1" x14ac:dyDescent="0.25">
      <c r="A38" s="516" t="s">
        <v>222</v>
      </c>
      <c r="B38" s="517"/>
      <c r="C38" s="118" t="e">
        <f>CH41</f>
        <v>#REF!</v>
      </c>
      <c r="D38" s="118"/>
      <c r="E38" s="118"/>
      <c r="F38" s="118"/>
      <c r="G38" s="334" t="e">
        <f t="shared" si="14"/>
        <v>#REF!</v>
      </c>
      <c r="H38" s="334" t="e">
        <f t="shared" si="14"/>
        <v>#REF!</v>
      </c>
      <c r="I38" s="334" t="e">
        <f>CL41</f>
        <v>#REF!</v>
      </c>
      <c r="J38" s="513" t="e">
        <f>CK41</f>
        <v>#REF!</v>
      </c>
      <c r="K38" s="513"/>
      <c r="L38" s="167" t="e">
        <f>CM41</f>
        <v>#REF!</v>
      </c>
      <c r="M38" s="334" t="s">
        <v>16</v>
      </c>
      <c r="N38" s="282" t="e">
        <f t="shared" si="15"/>
        <v>#REF!</v>
      </c>
      <c r="O38" s="334" t="e">
        <f t="shared" si="15"/>
        <v>#REF!</v>
      </c>
      <c r="P38" s="306" t="e">
        <f>SUM(H38*3+I38*1)</f>
        <v>#REF!</v>
      </c>
      <c r="Q38" s="167"/>
      <c r="R38" s="516" t="s">
        <v>222</v>
      </c>
      <c r="S38" s="517"/>
      <c r="T38" s="118" t="e">
        <f>CH48</f>
        <v>#REF!</v>
      </c>
      <c r="U38" s="118"/>
      <c r="V38" s="118"/>
      <c r="W38" s="118"/>
      <c r="X38" s="334" t="e">
        <f t="shared" si="16"/>
        <v>#REF!</v>
      </c>
      <c r="Y38" s="334" t="e">
        <f t="shared" si="16"/>
        <v>#REF!</v>
      </c>
      <c r="Z38" s="334" t="e">
        <f>CL48</f>
        <v>#REF!</v>
      </c>
      <c r="AA38" s="513" t="e">
        <f>CK48</f>
        <v>#REF!</v>
      </c>
      <c r="AB38" s="513"/>
      <c r="AC38" s="167" t="e">
        <f>CM48</f>
        <v>#REF!</v>
      </c>
      <c r="AD38" s="334" t="s">
        <v>16</v>
      </c>
      <c r="AE38" s="282" t="e">
        <f t="shared" si="17"/>
        <v>#REF!</v>
      </c>
      <c r="AF38" s="334" t="e">
        <f t="shared" si="17"/>
        <v>#REF!</v>
      </c>
      <c r="AG38" s="306" t="e">
        <f>SUM(Y38*3+Z38*1)</f>
        <v>#REF!</v>
      </c>
      <c r="AH38" s="63" t="s">
        <v>196</v>
      </c>
      <c r="AI38" s="63" t="s">
        <v>195</v>
      </c>
      <c r="AJ38" s="63">
        <f>Z60</f>
        <v>0</v>
      </c>
      <c r="AK38" s="234">
        <f>AB60</f>
        <v>0</v>
      </c>
      <c r="AL38" s="77" t="s">
        <v>183</v>
      </c>
      <c r="AM38" s="48" t="s">
        <v>184</v>
      </c>
      <c r="AN38" s="44" t="s">
        <v>185</v>
      </c>
      <c r="AO38" s="45" t="str">
        <f t="shared" si="4"/>
        <v>Draw</v>
      </c>
      <c r="AP38" s="45" t="str">
        <f t="shared" si="5"/>
        <v>Draw</v>
      </c>
      <c r="AQ38" s="45"/>
      <c r="AT38" s="16" t="s">
        <v>124</v>
      </c>
      <c r="AU38" s="16" t="s">
        <v>110</v>
      </c>
      <c r="AV38" s="16" t="s">
        <v>125</v>
      </c>
      <c r="AW38" s="16" t="s">
        <v>126</v>
      </c>
      <c r="AX38" s="16" t="s">
        <v>127</v>
      </c>
      <c r="AY38" s="16" t="s">
        <v>123</v>
      </c>
      <c r="AZ38" s="16" t="s">
        <v>128</v>
      </c>
      <c r="BA38" s="16" t="s">
        <v>129</v>
      </c>
      <c r="BB38" s="16" t="s">
        <v>130</v>
      </c>
      <c r="BC38" s="20" t="s">
        <v>129</v>
      </c>
      <c r="BD38" s="16" t="s">
        <v>130</v>
      </c>
      <c r="BE38" s="20" t="s">
        <v>129</v>
      </c>
      <c r="BF38" s="16" t="s">
        <v>130</v>
      </c>
      <c r="BG38" s="20" t="s">
        <v>129</v>
      </c>
      <c r="BH38" s="20" t="s">
        <v>128</v>
      </c>
      <c r="BI38" s="16" t="s">
        <v>130</v>
      </c>
      <c r="BJ38" s="16" t="s">
        <v>129</v>
      </c>
      <c r="BK38" s="20" t="s">
        <v>128</v>
      </c>
      <c r="BL38" s="16" t="s">
        <v>130</v>
      </c>
      <c r="BM38" s="16" t="s">
        <v>129</v>
      </c>
      <c r="BN38" s="20" t="s">
        <v>128</v>
      </c>
      <c r="BO38" s="16" t="s">
        <v>130</v>
      </c>
      <c r="BP38" s="16" t="s">
        <v>129</v>
      </c>
      <c r="BQ38" s="20" t="s">
        <v>128</v>
      </c>
      <c r="BR38" s="20" t="s">
        <v>127</v>
      </c>
      <c r="BS38" s="16" t="s">
        <v>130</v>
      </c>
      <c r="BT38" s="16" t="s">
        <v>129</v>
      </c>
      <c r="BU38" s="20" t="s">
        <v>128</v>
      </c>
      <c r="BV38" s="20" t="s">
        <v>127</v>
      </c>
      <c r="BW38" s="16" t="s">
        <v>130</v>
      </c>
      <c r="BX38" s="16" t="s">
        <v>129</v>
      </c>
      <c r="BY38" s="20" t="s">
        <v>128</v>
      </c>
      <c r="BZ38" s="20" t="s">
        <v>127</v>
      </c>
      <c r="CA38" s="16" t="s">
        <v>130</v>
      </c>
      <c r="CB38" s="20" t="s">
        <v>129</v>
      </c>
      <c r="CC38" s="20" t="s">
        <v>128</v>
      </c>
      <c r="CD38" s="20" t="s">
        <v>127</v>
      </c>
      <c r="CI38" s="20" t="s">
        <v>131</v>
      </c>
      <c r="CJ38" s="20" t="s">
        <v>110</v>
      </c>
      <c r="CK38" s="20" t="s">
        <v>125</v>
      </c>
      <c r="CL38" s="20" t="s">
        <v>126</v>
      </c>
      <c r="CM38" s="20" t="s">
        <v>127</v>
      </c>
      <c r="CN38" s="20" t="s">
        <v>123</v>
      </c>
      <c r="CO38" s="20" t="s">
        <v>128</v>
      </c>
      <c r="CP38" s="20" t="s">
        <v>129</v>
      </c>
      <c r="CR38" s="21" t="e">
        <f>#REF!</f>
        <v>#REF!</v>
      </c>
    </row>
    <row r="39" spans="1:96" ht="12.95" customHeight="1" thickBot="1" x14ac:dyDescent="0.25">
      <c r="A39" s="516" t="s">
        <v>223</v>
      </c>
      <c r="B39" s="517"/>
      <c r="C39" s="118" t="e">
        <f>CH42</f>
        <v>#REF!</v>
      </c>
      <c r="D39" s="118"/>
      <c r="E39" s="118"/>
      <c r="F39" s="118"/>
      <c r="G39" s="334" t="e">
        <f t="shared" si="14"/>
        <v>#REF!</v>
      </c>
      <c r="H39" s="334" t="e">
        <f t="shared" si="14"/>
        <v>#REF!</v>
      </c>
      <c r="I39" s="334" t="e">
        <f>CL42</f>
        <v>#REF!</v>
      </c>
      <c r="J39" s="513" t="e">
        <f>CK42</f>
        <v>#REF!</v>
      </c>
      <c r="K39" s="513"/>
      <c r="L39" s="167" t="e">
        <f>CM42</f>
        <v>#REF!</v>
      </c>
      <c r="M39" s="334" t="s">
        <v>16</v>
      </c>
      <c r="N39" s="282" t="e">
        <f t="shared" si="15"/>
        <v>#REF!</v>
      </c>
      <c r="O39" s="334" t="e">
        <f t="shared" si="15"/>
        <v>#REF!</v>
      </c>
      <c r="P39" s="306" t="e">
        <f>SUM(H39*3+I39*1)</f>
        <v>#REF!</v>
      </c>
      <c r="Q39" s="167"/>
      <c r="R39" s="516" t="s">
        <v>223</v>
      </c>
      <c r="S39" s="517"/>
      <c r="T39" s="118" t="e">
        <f>CH49</f>
        <v>#REF!</v>
      </c>
      <c r="U39" s="118"/>
      <c r="V39" s="118"/>
      <c r="W39" s="118"/>
      <c r="X39" s="334" t="e">
        <f t="shared" si="16"/>
        <v>#REF!</v>
      </c>
      <c r="Y39" s="334" t="e">
        <f t="shared" si="16"/>
        <v>#REF!</v>
      </c>
      <c r="Z39" s="334" t="e">
        <f>CL49</f>
        <v>#REF!</v>
      </c>
      <c r="AA39" s="513" t="e">
        <f>CK49</f>
        <v>#REF!</v>
      </c>
      <c r="AB39" s="513"/>
      <c r="AC39" s="167" t="e">
        <f>CM49</f>
        <v>#REF!</v>
      </c>
      <c r="AD39" s="334" t="s">
        <v>16</v>
      </c>
      <c r="AE39" s="282" t="e">
        <f t="shared" si="17"/>
        <v>#REF!</v>
      </c>
      <c r="AF39" s="334" t="e">
        <f t="shared" si="17"/>
        <v>#REF!</v>
      </c>
      <c r="AG39" s="306" t="e">
        <f>SUM(Y39*3+Z39*1)</f>
        <v>#REF!</v>
      </c>
      <c r="AH39" s="63" t="s">
        <v>201</v>
      </c>
      <c r="AI39" s="63" t="s">
        <v>200</v>
      </c>
      <c r="AJ39" s="63">
        <f>Z29</f>
        <v>0</v>
      </c>
      <c r="AK39" s="234">
        <f>AB29</f>
        <v>0</v>
      </c>
      <c r="AL39" s="77" t="s">
        <v>189</v>
      </c>
      <c r="AM39" s="48" t="s">
        <v>190</v>
      </c>
      <c r="AN39" s="44" t="s">
        <v>126</v>
      </c>
      <c r="AO39" s="45" t="str">
        <f t="shared" si="4"/>
        <v>Draw</v>
      </c>
      <c r="AP39" s="45" t="str">
        <f t="shared" si="5"/>
        <v>Draw</v>
      </c>
      <c r="AQ39" s="45"/>
      <c r="AS39" s="16" t="str">
        <f>EINDRONDE!J14</f>
        <v>FC Isjeneefer</v>
      </c>
      <c r="AT39" s="16">
        <f>COUNT(Germany_Played)</f>
        <v>1</v>
      </c>
      <c r="AU39" s="16">
        <f>COUNTIF(Groupstage_Winners,"Germany")</f>
        <v>0</v>
      </c>
      <c r="AV39" s="16">
        <f>COUNTIF(Groupstage_Losers,"Germany")</f>
        <v>0</v>
      </c>
      <c r="AW39" s="16">
        <f>AT39-(AU39+AV39)</f>
        <v>1</v>
      </c>
      <c r="AX39" s="16" t="e">
        <f>SUM(Germany_Played)</f>
        <v>#REF!</v>
      </c>
      <c r="AY39" s="16" t="e">
        <f>SUM(Germany_Against)</f>
        <v>#REF!</v>
      </c>
      <c r="AZ39" s="16" t="e">
        <f>AX39-AY39</f>
        <v>#REF!</v>
      </c>
      <c r="BA39" s="16">
        <f>SUM((AU39*3)+(AW39*1))</f>
        <v>1</v>
      </c>
      <c r="BB39" s="16" t="str">
        <f>IF($BA39&gt;=$BA40,$AS39,$AS40)</f>
        <v>FC Isjeneefer</v>
      </c>
      <c r="BC39" s="16">
        <f>VLOOKUP($BB39,$AS39:$BA42,9,FALSE)</f>
        <v>1</v>
      </c>
      <c r="BD39" s="16" t="str">
        <f>IF($BC39&gt;=$BC41,$BB39,$BB41)</f>
        <v>FC Isjeneefer</v>
      </c>
      <c r="BE39" s="16">
        <f>VLOOKUP($BD39,$AS39:$BA42,9,FALSE)</f>
        <v>1</v>
      </c>
      <c r="BF39" s="16" t="e">
        <f>IF($BE39&gt;=$BE42,$BD39,$BD42)</f>
        <v>#REF!</v>
      </c>
      <c r="BG39" s="16" t="e">
        <f>VLOOKUP($BF39,$AS39:$BA42,9,FALSE)</f>
        <v>#REF!</v>
      </c>
      <c r="BH39" s="16" t="e">
        <f>VLOOKUP($BF39,$AS39:$BA42,8,FALSE)</f>
        <v>#REF!</v>
      </c>
      <c r="BI39" s="16" t="e">
        <f>IF(AND($BG39=$BG40,$BH40&gt;$BH39),$BF40,$BF39)</f>
        <v>#REF!</v>
      </c>
      <c r="BJ39" s="16" t="e">
        <f>VLOOKUP($BI39,$AS39:$BA42,9,FALSE)</f>
        <v>#REF!</v>
      </c>
      <c r="BK39" s="16" t="e">
        <f>VLOOKUP($BI39,$AS39:$BA42,8,FALSE)</f>
        <v>#REF!</v>
      </c>
      <c r="BL39" s="16" t="e">
        <f>IF(AND($BJ39=$BJ41,$BK41&gt;$BK39),$BI41,$BI39)</f>
        <v>#REF!</v>
      </c>
      <c r="BM39" s="16" t="e">
        <f>VLOOKUP($BL39,$AS39:$BA42,9,FALSE)</f>
        <v>#REF!</v>
      </c>
      <c r="BN39" s="16" t="e">
        <f>VLOOKUP($BL39,$AS39:$BA42,8,FALSE)</f>
        <v>#REF!</v>
      </c>
      <c r="BO39" s="16" t="e">
        <f>IF(AND($BM39=$BM42,$BN42&gt;$BN39),$BL42,$BL39)</f>
        <v>#REF!</v>
      </c>
      <c r="BP39" s="16" t="e">
        <f>VLOOKUP($BO39,$AS39:$BA42,9,FALSE)</f>
        <v>#REF!</v>
      </c>
      <c r="BQ39" s="16" t="e">
        <f>VLOOKUP($BO39,$AS39:$BA42,8,FALSE)</f>
        <v>#REF!</v>
      </c>
      <c r="BR39" s="16" t="e">
        <f>VLOOKUP($BO39,$AS39:$BA42,6,FALSE)</f>
        <v>#REF!</v>
      </c>
      <c r="BS39" s="16" t="e">
        <f>IF(AND($BP39=$BP40,$BQ39=$BQ40,$BR40&gt;$BR39),$BO40,$BO39)</f>
        <v>#REF!</v>
      </c>
      <c r="BT39" s="16" t="e">
        <f>VLOOKUP($BS39,$AS39:$BA42,9,FALSE)</f>
        <v>#REF!</v>
      </c>
      <c r="BU39" s="16" t="e">
        <f>VLOOKUP($BS39,$AS39:$BA42,8,FALSE)</f>
        <v>#REF!</v>
      </c>
      <c r="BV39" s="16" t="e">
        <f>VLOOKUP($BS39,$AS39:$BA42,6,FALSE)</f>
        <v>#REF!</v>
      </c>
      <c r="BW39" s="16" t="e">
        <f>IF(AND($BT39=$BT41,$BU39=$BU41,$BV41&gt;$BV39),$BS41,$BS39)</f>
        <v>#REF!</v>
      </c>
      <c r="BX39" s="16" t="e">
        <f>VLOOKUP($BW39,$AS39:$BA42,9,FALSE)</f>
        <v>#REF!</v>
      </c>
      <c r="BY39" s="16" t="e">
        <f>VLOOKUP($BW39,$AS39:$BA42,8,FALSE)</f>
        <v>#REF!</v>
      </c>
      <c r="BZ39" s="16" t="e">
        <f>VLOOKUP($BW39,$AS39:$BA42,6,FALSE)</f>
        <v>#REF!</v>
      </c>
      <c r="CA39" s="16" t="e">
        <f>IF(AND($BX39=$BX42,$BY39=$BY42,$BZ42&gt;$BZ39),$BW42,$BW39)</f>
        <v>#REF!</v>
      </c>
      <c r="CB39" s="16" t="e">
        <f>VLOOKUP($CA39,$AS39:$BA42,9,FALSE)</f>
        <v>#REF!</v>
      </c>
      <c r="CC39" s="16" t="e">
        <f>VLOOKUP($CA39,$AS39:$BA42,8,FALSE)</f>
        <v>#REF!</v>
      </c>
      <c r="CD39" s="16" t="e">
        <f>VLOOKUP($CA39,$AS39:$BA42,6,FALSE)</f>
        <v>#REF!</v>
      </c>
      <c r="CH39" s="16" t="e">
        <f>CA39</f>
        <v>#REF!</v>
      </c>
      <c r="CI39" s="16" t="e">
        <f>VLOOKUP($CH39,$AS39:$BA42,2,FALSE)</f>
        <v>#REF!</v>
      </c>
      <c r="CJ39" s="16" t="e">
        <f>VLOOKUP($CH39,$AS39:$BA42,3,FALSE)</f>
        <v>#REF!</v>
      </c>
      <c r="CK39" s="16" t="e">
        <f>VLOOKUP($CH39,$AS39:$BA42,4,FALSE)</f>
        <v>#REF!</v>
      </c>
      <c r="CL39" s="16" t="e">
        <f>VLOOKUP($CH39,$AS39:$BA42,5,FALSE)</f>
        <v>#REF!</v>
      </c>
      <c r="CM39" s="16" t="e">
        <f>VLOOKUP($CH39,$AS39:$BA42,6,FALSE)</f>
        <v>#REF!</v>
      </c>
      <c r="CN39" s="16" t="e">
        <f>VLOOKUP($CH39,$AS39:$BA42,7,FALSE)</f>
        <v>#REF!</v>
      </c>
      <c r="CO39" s="16" t="e">
        <f>VLOOKUP($CH39,$AS39:$BA42,8,FALSE)</f>
        <v>#REF!</v>
      </c>
      <c r="CP39" s="16" t="e">
        <f>VLOOKUP($CH39,$AS39:$BA42,9,FALSE)</f>
        <v>#REF!</v>
      </c>
      <c r="CR39" s="21" t="e">
        <f>#REF!</f>
        <v>#REF!</v>
      </c>
    </row>
    <row r="40" spans="1:96" ht="7.5" customHeight="1" thickBot="1" x14ac:dyDescent="0.25">
      <c r="A40" s="28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P40" s="32"/>
      <c r="R40" s="28"/>
      <c r="AG40" s="32"/>
      <c r="AH40" s="69" t="s">
        <v>141</v>
      </c>
      <c r="AI40" s="70" t="s">
        <v>140</v>
      </c>
      <c r="AJ40" s="70" t="e">
        <f>I15</f>
        <v>#REF!</v>
      </c>
      <c r="AK40" s="232" t="e">
        <f>K15</f>
        <v>#REF!</v>
      </c>
      <c r="AL40" s="73" t="s">
        <v>120</v>
      </c>
      <c r="AM40" s="50" t="s">
        <v>119</v>
      </c>
      <c r="AN40" s="44" t="s">
        <v>123</v>
      </c>
      <c r="AO40" s="45" t="e">
        <f t="shared" si="4"/>
        <v>#REF!</v>
      </c>
      <c r="AP40" s="45" t="e">
        <f t="shared" si="5"/>
        <v>#REF!</v>
      </c>
      <c r="AQ40" s="45"/>
      <c r="AS40" s="16" t="e">
        <f>EINDRONDE!J15</f>
        <v>#REF!</v>
      </c>
      <c r="AT40" s="16">
        <f>COUNT(Saudi_Arabia_Played)</f>
        <v>1</v>
      </c>
      <c r="AU40" s="16">
        <f>COUNTIF(Groupstage_Winners,"Saudi Arabia")</f>
        <v>0</v>
      </c>
      <c r="AV40" s="16">
        <f>COUNTIF(Groupstage_Losers,"Saudi Arabia")</f>
        <v>0</v>
      </c>
      <c r="AW40" s="16">
        <f>AT40-(AU40+AV40)</f>
        <v>1</v>
      </c>
      <c r="AX40" s="16" t="e">
        <f>SUM(Saudi_Arabia_Played)</f>
        <v>#REF!</v>
      </c>
      <c r="AY40" s="16" t="e">
        <f>SUM(Saudi_Arabia_Against)</f>
        <v>#REF!</v>
      </c>
      <c r="AZ40" s="16" t="e">
        <f>AX40-AY40</f>
        <v>#REF!</v>
      </c>
      <c r="BA40" s="16">
        <f t="shared" ref="BA40:BA42" si="18">SUM((AU40*3)+(AW40*1))</f>
        <v>1</v>
      </c>
      <c r="BB40" s="16" t="e">
        <f>IF($BA40&lt;=$BA39,$AS40,$AS39)</f>
        <v>#REF!</v>
      </c>
      <c r="BC40" s="16" t="e">
        <f>VLOOKUP($BB40,$AS39:$BA42,9,FALSE)</f>
        <v>#REF!</v>
      </c>
      <c r="BD40" s="16" t="e">
        <f>IF(BC40&gt;=BC42,BB40,BB42)</f>
        <v>#REF!</v>
      </c>
      <c r="BE40" s="16" t="e">
        <f>VLOOKUP($BD40,$AS39:$BA42,9,FALSE)</f>
        <v>#REF!</v>
      </c>
      <c r="BF40" s="16" t="e">
        <f>IF($BE40&gt;=$BE41,$BD40,$BD41)</f>
        <v>#REF!</v>
      </c>
      <c r="BG40" s="16" t="e">
        <f>VLOOKUP($BF40,$AS39:$BA42,9,FALSE)</f>
        <v>#REF!</v>
      </c>
      <c r="BH40" s="16" t="e">
        <f>VLOOKUP($BF40,$AS39:$BA42,8,FALSE)</f>
        <v>#REF!</v>
      </c>
      <c r="BI40" s="16" t="e">
        <f>IF(AND($BG39=$BG40,$BH40&gt;$BH39),$BF39,$BF40)</f>
        <v>#REF!</v>
      </c>
      <c r="BJ40" s="16" t="e">
        <f>VLOOKUP($BI40,$AS39:$BA42,9,FALSE)</f>
        <v>#REF!</v>
      </c>
      <c r="BK40" s="16" t="e">
        <f>VLOOKUP($BI40,$AS39:$BA42,8,FALSE)</f>
        <v>#REF!</v>
      </c>
      <c r="BL40" s="16" t="e">
        <f>IF(AND($BJ40=$BJ42,$BK42&gt;$BK40),$BI42,$BI40)</f>
        <v>#REF!</v>
      </c>
      <c r="BM40" s="16" t="e">
        <f>VLOOKUP($BL40,$AS39:$BA42,9,FALSE)</f>
        <v>#REF!</v>
      </c>
      <c r="BN40" s="16" t="e">
        <f>VLOOKUP($BL40,$AS39:$BA42,8,FALSE)</f>
        <v>#REF!</v>
      </c>
      <c r="BO40" s="16" t="e">
        <f>IF(AND($BM40=$BM41,$BN41&gt;$BN40),$BL41,$BL40)</f>
        <v>#REF!</v>
      </c>
      <c r="BP40" s="16" t="e">
        <f>VLOOKUP($BO40,$AS39:$BA42,9,FALSE)</f>
        <v>#REF!</v>
      </c>
      <c r="BQ40" s="16" t="e">
        <f>VLOOKUP($BO40,$AS39:$BA42,8,FALSE)</f>
        <v>#REF!</v>
      </c>
      <c r="BR40" s="16" t="e">
        <f>VLOOKUP($BO40,$AS39:$BA42,6,FALSE)</f>
        <v>#REF!</v>
      </c>
      <c r="BS40" s="16" t="e">
        <f>IF(AND($BP39=$BP40,$BQ39=$BQ40,$BR40&gt;$BR39),$BO39,$BO40)</f>
        <v>#REF!</v>
      </c>
      <c r="BT40" s="16" t="e">
        <f>VLOOKUP($BS40,$AS39:$BA42,9,FALSE)</f>
        <v>#REF!</v>
      </c>
      <c r="BU40" s="16" t="e">
        <f>VLOOKUP($BS40,$AS39:$BA42,8,FALSE)</f>
        <v>#REF!</v>
      </c>
      <c r="BV40" s="16" t="e">
        <f>VLOOKUP($BS40,$AS39:$BA42,6,FALSE)</f>
        <v>#REF!</v>
      </c>
      <c r="BW40" s="16" t="e">
        <f>IF(AND($BT40=$BT42,$BU40=$BU42,$BV42&gt;$BV40),$BS42,$BS40)</f>
        <v>#REF!</v>
      </c>
      <c r="BX40" s="16" t="e">
        <f>VLOOKUP($BW40,$AS39:$BA42,9,FALSE)</f>
        <v>#REF!</v>
      </c>
      <c r="BY40" s="16" t="e">
        <f>VLOOKUP($BW40,$AS39:$BA42,8,FALSE)</f>
        <v>#REF!</v>
      </c>
      <c r="BZ40" s="16" t="e">
        <f>VLOOKUP($BW40,$AS39:$BA42,6,FALSE)</f>
        <v>#REF!</v>
      </c>
      <c r="CA40" s="16" t="e">
        <f>IF(AND($BX40=$BX41,$BY40=$BY41,$BZ41&gt;$BZ40),$BW41,$BW40)</f>
        <v>#REF!</v>
      </c>
      <c r="CB40" s="16" t="e">
        <f>VLOOKUP($CA40,$AS39:$BA42,9,FALSE)</f>
        <v>#REF!</v>
      </c>
      <c r="CC40" s="16" t="e">
        <f>VLOOKUP($CA40,$AS39:$BA42,8,FALSE)</f>
        <v>#REF!</v>
      </c>
      <c r="CD40" s="16" t="e">
        <f>VLOOKUP($CA40,$AS39:$BA42,6,FALSE)</f>
        <v>#REF!</v>
      </c>
      <c r="CH40" s="16" t="e">
        <f>CA40</f>
        <v>#REF!</v>
      </c>
      <c r="CI40" s="16" t="e">
        <f>VLOOKUP($CH40,$AS39:$BA42,2,FALSE)</f>
        <v>#REF!</v>
      </c>
      <c r="CJ40" s="16" t="e">
        <f>VLOOKUP($CH40,$AS39:$BA42,3,FALSE)</f>
        <v>#REF!</v>
      </c>
      <c r="CK40" s="16" t="e">
        <f>VLOOKUP($CH40,$AS39:$BA42,4,FALSE)</f>
        <v>#REF!</v>
      </c>
      <c r="CL40" s="16" t="e">
        <f>VLOOKUP($CH40,$AS39:$BA42,5,FALSE)</f>
        <v>#REF!</v>
      </c>
      <c r="CM40" s="16" t="e">
        <f>VLOOKUP($CH40,$AS39:$BA42,6,FALSE)</f>
        <v>#REF!</v>
      </c>
      <c r="CN40" s="16" t="e">
        <f>VLOOKUP($CH40,$AS39:$BA42,7,FALSE)</f>
        <v>#REF!</v>
      </c>
      <c r="CO40" s="16" t="e">
        <f>VLOOKUP($CH40,$AS39:$BA42,8,FALSE)</f>
        <v>#REF!</v>
      </c>
      <c r="CP40" s="16" t="e">
        <f>VLOOKUP($CH40,$AS39:$BA42,9,FALSE)</f>
        <v>#REF!</v>
      </c>
      <c r="CR40" s="21" t="e">
        <f>#REF!</f>
        <v>#REF!</v>
      </c>
    </row>
    <row r="41" spans="1:96" s="145" customFormat="1" ht="9.75" customHeight="1" thickBot="1" x14ac:dyDescent="0.25">
      <c r="A41" s="246" t="s">
        <v>85</v>
      </c>
      <c r="B41" s="339"/>
      <c r="C41" s="339"/>
      <c r="D41" s="124" t="s">
        <v>86</v>
      </c>
      <c r="E41" s="124"/>
      <c r="F41" s="124"/>
      <c r="G41" s="124"/>
      <c r="H41" s="124"/>
      <c r="I41" s="515" t="s">
        <v>15</v>
      </c>
      <c r="J41" s="515"/>
      <c r="K41" s="515"/>
      <c r="L41" s="526"/>
      <c r="M41" s="526"/>
      <c r="N41" s="526"/>
      <c r="O41" s="526"/>
      <c r="P41" s="527"/>
      <c r="Q41" s="24"/>
      <c r="R41" s="246" t="s">
        <v>85</v>
      </c>
      <c r="S41" s="339"/>
      <c r="T41" s="339"/>
      <c r="U41" s="124" t="s">
        <v>86</v>
      </c>
      <c r="V41" s="124"/>
      <c r="W41" s="124"/>
      <c r="X41" s="124"/>
      <c r="Y41" s="124"/>
      <c r="Z41" s="515" t="s">
        <v>15</v>
      </c>
      <c r="AA41" s="515"/>
      <c r="AB41" s="515"/>
      <c r="AC41" s="526"/>
      <c r="AD41" s="526"/>
      <c r="AE41" s="526"/>
      <c r="AF41" s="526"/>
      <c r="AG41" s="527"/>
      <c r="AH41" s="147" t="s">
        <v>122</v>
      </c>
      <c r="AI41" s="148" t="s">
        <v>121</v>
      </c>
      <c r="AJ41" s="148" t="e">
        <f>I16</f>
        <v>#REF!</v>
      </c>
      <c r="AK41" s="233" t="e">
        <f>K16</f>
        <v>#REF!</v>
      </c>
      <c r="AL41" s="149" t="s">
        <v>139</v>
      </c>
      <c r="AM41" s="150" t="s">
        <v>138</v>
      </c>
      <c r="AN41" s="143" t="s">
        <v>123</v>
      </c>
      <c r="AO41" s="144" t="e">
        <f t="shared" si="4"/>
        <v>#REF!</v>
      </c>
      <c r="AP41" s="144" t="e">
        <f t="shared" si="5"/>
        <v>#REF!</v>
      </c>
      <c r="AQ41" s="144"/>
      <c r="AS41" s="145" t="str">
        <f>EINDRONDE!J16</f>
        <v>IAMB&amp;B</v>
      </c>
      <c r="AT41" s="145">
        <f>COUNT(Ireland_Played)</f>
        <v>1</v>
      </c>
      <c r="AU41" s="145">
        <f>COUNTIF(Groupstage_Winners,"Ireland")</f>
        <v>0</v>
      </c>
      <c r="AV41" s="145">
        <f>COUNTIF(Groupstage_Losers,"Ireland")</f>
        <v>0</v>
      </c>
      <c r="AW41" s="145">
        <f>AT41-(AU41+AV41)</f>
        <v>1</v>
      </c>
      <c r="AX41" s="145" t="e">
        <f>SUM(Ireland_Played)</f>
        <v>#REF!</v>
      </c>
      <c r="AY41" s="145" t="e">
        <f>SUM(Ireland_Against)</f>
        <v>#REF!</v>
      </c>
      <c r="AZ41" s="145" t="e">
        <f>AX41-AY41</f>
        <v>#REF!</v>
      </c>
      <c r="BA41" s="16">
        <f t="shared" si="18"/>
        <v>1</v>
      </c>
      <c r="BB41" s="145" t="str">
        <f>IF($BA41&gt;=$BA42,$AS41,$AS42)</f>
        <v>IAMB&amp;B</v>
      </c>
      <c r="BC41" s="145">
        <f>VLOOKUP($BB41,$AS39:$BA42,9,FALSE)</f>
        <v>1</v>
      </c>
      <c r="BD41" s="145" t="str">
        <f>IF($BC41&lt;=$BC39,$BB41,$BB39)</f>
        <v>IAMB&amp;B</v>
      </c>
      <c r="BE41" s="145">
        <f>VLOOKUP($BD41,$AS39:$BA42,9,FALSE)</f>
        <v>1</v>
      </c>
      <c r="BF41" s="145" t="e">
        <f>IF($BE41&lt;=$BE40,$BD41,$BD40)</f>
        <v>#REF!</v>
      </c>
      <c r="BG41" s="145" t="e">
        <f>VLOOKUP($BF41,$AS39:$BA42,9,FALSE)</f>
        <v>#REF!</v>
      </c>
      <c r="BH41" s="145" t="e">
        <f>VLOOKUP($BF41,$AS39:$BA42,8,FALSE)</f>
        <v>#REF!</v>
      </c>
      <c r="BI41" s="145" t="e">
        <f>IF(AND($BG41=$BG42,$BH42&gt;$BH41),$BF42,$BF41)</f>
        <v>#REF!</v>
      </c>
      <c r="BJ41" s="145" t="e">
        <f>VLOOKUP($BI41,$AS39:$BA42,9,FALSE)</f>
        <v>#REF!</v>
      </c>
      <c r="BK41" s="145" t="e">
        <f>VLOOKUP($BI41,$AS39:$BA42,8,FALSE)</f>
        <v>#REF!</v>
      </c>
      <c r="BL41" s="145" t="e">
        <f>IF(AND($BJ39=$BJ41,$BK41&gt;$BK39),$BI39,$BI41)</f>
        <v>#REF!</v>
      </c>
      <c r="BM41" s="145" t="e">
        <f>VLOOKUP($BL41,$AS39:$BA42,9,FALSE)</f>
        <v>#REF!</v>
      </c>
      <c r="BN41" s="145" t="e">
        <f>VLOOKUP($BL41,$AS39:$BA42,8,FALSE)</f>
        <v>#REF!</v>
      </c>
      <c r="BO41" s="145" t="e">
        <f>IF(AND($BM40=$BM41,$BN41&gt;$BN40),$BL40,$BL41)</f>
        <v>#REF!</v>
      </c>
      <c r="BP41" s="145" t="e">
        <f>VLOOKUP($BO41,$AS39:$BA42,9,FALSE)</f>
        <v>#REF!</v>
      </c>
      <c r="BQ41" s="145" t="e">
        <f>VLOOKUP($BO41,$AS39:$BA42,8,FALSE)</f>
        <v>#REF!</v>
      </c>
      <c r="BR41" s="145" t="e">
        <f>VLOOKUP($BO41,$AS39:$BA42,6,FALSE)</f>
        <v>#REF!</v>
      </c>
      <c r="BS41" s="145" t="e">
        <f>IF(AND($BP41=$BP42,$BQ41=$BQ42,$BR42&gt;$BR41),$BO42,$BO41)</f>
        <v>#REF!</v>
      </c>
      <c r="BT41" s="145" t="e">
        <f>VLOOKUP($BS41,$AS39:$BA42,9,FALSE)</f>
        <v>#REF!</v>
      </c>
      <c r="BU41" s="145" t="e">
        <f>VLOOKUP($BS41,$AS39:$BA42,8,FALSE)</f>
        <v>#REF!</v>
      </c>
      <c r="BV41" s="145" t="e">
        <f>VLOOKUP($BS41,$AS39:$BA42,6,FALSE)</f>
        <v>#REF!</v>
      </c>
      <c r="BW41" s="145" t="e">
        <f>IF(AND($BT39=$BT41,$BU39=$BU41,$BV40&gt;$BV39),$BS39,$BS41)</f>
        <v>#REF!</v>
      </c>
      <c r="BX41" s="145" t="e">
        <f>VLOOKUP($BW41,$AS39:$BA42,9,FALSE)</f>
        <v>#REF!</v>
      </c>
      <c r="BY41" s="145" t="e">
        <f>VLOOKUP($BW41,$AS39:$BA42,8,FALSE)</f>
        <v>#REF!</v>
      </c>
      <c r="BZ41" s="145" t="e">
        <f>VLOOKUP($BW41,$AS39:$BA42,6,FALSE)</f>
        <v>#REF!</v>
      </c>
      <c r="CA41" s="145" t="e">
        <f>IF(AND($BX40=$BX41,$BY40=$BY41,$BZ41&gt;$BZ40),$BW40,$BW41)</f>
        <v>#REF!</v>
      </c>
      <c r="CB41" s="145" t="e">
        <f>VLOOKUP($CA41,$AS39:$BA42,9,FALSE)</f>
        <v>#REF!</v>
      </c>
      <c r="CC41" s="145" t="e">
        <f>VLOOKUP($CA41,$AS39:$BA42,8,FALSE)</f>
        <v>#REF!</v>
      </c>
      <c r="CD41" s="145" t="e">
        <f>VLOOKUP($CA41,$AS39:$BA42,6,FALSE)</f>
        <v>#REF!</v>
      </c>
      <c r="CH41" s="145" t="e">
        <f>CA41</f>
        <v>#REF!</v>
      </c>
      <c r="CI41" s="145" t="e">
        <f>VLOOKUP($CH41,$AS39:$BA42,2,FALSE)</f>
        <v>#REF!</v>
      </c>
      <c r="CJ41" s="145" t="e">
        <f>VLOOKUP($CH41,$AS39:$BA42,3,FALSE)</f>
        <v>#REF!</v>
      </c>
      <c r="CK41" s="145" t="e">
        <f>VLOOKUP($CH41,$AS39:$BA42,4,FALSE)</f>
        <v>#REF!</v>
      </c>
      <c r="CL41" s="145" t="e">
        <f>VLOOKUP($CH41,$AS39:$BA42,5,FALSE)</f>
        <v>#REF!</v>
      </c>
      <c r="CM41" s="145" t="e">
        <f>VLOOKUP($CH41,$AS39:$BA42,6,FALSE)</f>
        <v>#REF!</v>
      </c>
      <c r="CN41" s="145" t="e">
        <f>VLOOKUP($CH41,$AS39:$BA42,7,FALSE)</f>
        <v>#REF!</v>
      </c>
      <c r="CO41" s="145" t="e">
        <f>VLOOKUP($CH41,$AS39:$BA42,8,FALSE)</f>
        <v>#REF!</v>
      </c>
      <c r="CP41" s="145" t="e">
        <f>VLOOKUP($CH41,$AS39:$BA42,9,FALSE)</f>
        <v>#REF!</v>
      </c>
      <c r="CR41" s="146" t="e">
        <f>#REF!</f>
        <v>#REF!</v>
      </c>
    </row>
    <row r="42" spans="1:96" ht="12.95" customHeight="1" thickBot="1" x14ac:dyDescent="0.25">
      <c r="A42" s="520">
        <f>START!C15</f>
        <v>0.57291666666666663</v>
      </c>
      <c r="B42" s="518"/>
      <c r="C42" s="283"/>
      <c r="D42" s="337" t="str">
        <f>AS39</f>
        <v>FC Isjeneefer</v>
      </c>
      <c r="E42" s="283" t="s">
        <v>16</v>
      </c>
      <c r="F42" s="518" t="e">
        <f>AS40</f>
        <v>#REF!</v>
      </c>
      <c r="G42" s="518"/>
      <c r="H42" s="518"/>
      <c r="I42" s="165" t="str">
        <f>KWALIFICATIE!AD94</f>
        <v>…</v>
      </c>
      <c r="J42" s="334" t="s">
        <v>16</v>
      </c>
      <c r="K42" s="166" t="str">
        <f>KWALIFICATIE!AF94</f>
        <v>…</v>
      </c>
      <c r="L42" s="518"/>
      <c r="M42" s="518"/>
      <c r="N42" s="518"/>
      <c r="O42" s="518"/>
      <c r="P42" s="519"/>
      <c r="Q42" s="118"/>
      <c r="R42" s="520">
        <f>START!C16</f>
        <v>0.58333333333333337</v>
      </c>
      <c r="S42" s="518"/>
      <c r="T42" s="283"/>
      <c r="U42" s="337" t="e">
        <f>AS46</f>
        <v>#REF!</v>
      </c>
      <c r="V42" s="283" t="s">
        <v>16</v>
      </c>
      <c r="W42" s="518" t="str">
        <f>AS47</f>
        <v>AccentSport Rakkers</v>
      </c>
      <c r="X42" s="518"/>
      <c r="Y42" s="518"/>
      <c r="Z42" s="165">
        <f>EINDRONDE!AD41</f>
        <v>0</v>
      </c>
      <c r="AA42" s="334" t="s">
        <v>16</v>
      </c>
      <c r="AB42" s="166">
        <f>EINDRONDE!AF41</f>
        <v>2</v>
      </c>
      <c r="AC42" s="518"/>
      <c r="AD42" s="518"/>
      <c r="AE42" s="518"/>
      <c r="AF42" s="518"/>
      <c r="AG42" s="519"/>
      <c r="AH42" s="69" t="s">
        <v>145</v>
      </c>
      <c r="AI42" s="70" t="s">
        <v>144</v>
      </c>
      <c r="AJ42" s="70" t="e">
        <f>I46</f>
        <v>#REF!</v>
      </c>
      <c r="AK42" s="232" t="e">
        <f>K46</f>
        <v>#REF!</v>
      </c>
      <c r="AL42" s="73" t="s">
        <v>134</v>
      </c>
      <c r="AM42" s="50" t="s">
        <v>133</v>
      </c>
      <c r="AN42" s="44" t="s">
        <v>137</v>
      </c>
      <c r="AO42" s="45" t="e">
        <f t="shared" si="4"/>
        <v>#REF!</v>
      </c>
      <c r="AP42" s="45" t="e">
        <f t="shared" si="5"/>
        <v>#REF!</v>
      </c>
      <c r="AQ42" s="45"/>
      <c r="AS42" s="16" t="str">
        <f>EINDRONDE!J17</f>
        <v>3e Beste nrs. 3</v>
      </c>
      <c r="AT42" s="16">
        <f>COUNT(Cameroon_Played)</f>
        <v>1</v>
      </c>
      <c r="AU42" s="16">
        <f>COUNTIF(Groupstage_Winners,"Cameroon")</f>
        <v>0</v>
      </c>
      <c r="AV42" s="16">
        <f>COUNTIF(Groupstage_Losers,"Cameroon")</f>
        <v>0</v>
      </c>
      <c r="AW42" s="16">
        <f>AT42-(AU42+AV42)</f>
        <v>1</v>
      </c>
      <c r="AX42" s="16" t="e">
        <f>SUM(Cameroon_Played)</f>
        <v>#REF!</v>
      </c>
      <c r="AY42" s="16" t="e">
        <f>SUM(Cameroon_Against)</f>
        <v>#REF!</v>
      </c>
      <c r="AZ42" s="16" t="e">
        <f>AX42-AY42</f>
        <v>#REF!</v>
      </c>
      <c r="BA42" s="16">
        <f t="shared" si="18"/>
        <v>1</v>
      </c>
      <c r="BB42" s="16" t="str">
        <f>IF($BA42&lt;=$BA41,$AS42,$AS41)</f>
        <v>3e Beste nrs. 3</v>
      </c>
      <c r="BC42" s="16">
        <f>VLOOKUP($BB42,$AS39:$BA42,9,FALSE)</f>
        <v>1</v>
      </c>
      <c r="BD42" s="16" t="e">
        <f>IF(BC42&lt;=BC40,BB42,BB40)</f>
        <v>#REF!</v>
      </c>
      <c r="BE42" s="16" t="e">
        <f>VLOOKUP($BD42,$AS39:$BA42,9,FALSE)</f>
        <v>#REF!</v>
      </c>
      <c r="BF42" s="16" t="e">
        <f>IF($BE42&lt;=$BE39,$BD42,$BD39)</f>
        <v>#REF!</v>
      </c>
      <c r="BG42" s="16" t="e">
        <f>VLOOKUP($BF42,$AS39:$BA42,9,FALSE)</f>
        <v>#REF!</v>
      </c>
      <c r="BH42" s="16" t="e">
        <f>VLOOKUP($BF42,$AS39:$BA42,8,FALSE)</f>
        <v>#REF!</v>
      </c>
      <c r="BI42" s="16" t="e">
        <f>IF(AND($BG41=$BG42,$BH42&gt;$BH41),$BF41,$BF42)</f>
        <v>#REF!</v>
      </c>
      <c r="BJ42" s="16" t="e">
        <f>VLOOKUP($BI42,$AS39:$BA42,9,FALSE)</f>
        <v>#REF!</v>
      </c>
      <c r="BK42" s="16" t="e">
        <f>VLOOKUP($BI42,$AS39:$BA42,8,FALSE)</f>
        <v>#REF!</v>
      </c>
      <c r="BL42" s="16" t="e">
        <f>IF(AND($BJ40=$BJ42,$BK42&gt;$BK40),$BI40,$BI42)</f>
        <v>#REF!</v>
      </c>
      <c r="BM42" s="16" t="e">
        <f>VLOOKUP($BL42,$AS39:$BA42,9,FALSE)</f>
        <v>#REF!</v>
      </c>
      <c r="BN42" s="16" t="e">
        <f>VLOOKUP($BL42,$AS39:$BA42,8,FALSE)</f>
        <v>#REF!</v>
      </c>
      <c r="BO42" s="16" t="e">
        <f>IF(AND($BM39=$BM42,$BN42&gt;$BN39),$BL39,$BL42)</f>
        <v>#REF!</v>
      </c>
      <c r="BP42" s="16" t="e">
        <f>VLOOKUP($BO42,$AS39:$BA42,9,FALSE)</f>
        <v>#REF!</v>
      </c>
      <c r="BQ42" s="16" t="e">
        <f>VLOOKUP($BO42,$AS39:$BA42,8,FALSE)</f>
        <v>#REF!</v>
      </c>
      <c r="BR42" s="16" t="e">
        <f>VLOOKUP($BO42,$AS39:$BA42,6,FALSE)</f>
        <v>#REF!</v>
      </c>
      <c r="BS42" s="16" t="e">
        <f>IF(AND($BP41=$BP42,$BQ41=$BQ42,$BR42&gt;$BR41),$BO41,$BO42)</f>
        <v>#REF!</v>
      </c>
      <c r="BT42" s="16" t="e">
        <f>VLOOKUP($BS42,$AS39:$BA42,9,FALSE)</f>
        <v>#REF!</v>
      </c>
      <c r="BU42" s="16" t="e">
        <f>VLOOKUP($BS42,$AS39:$BA42,8,FALSE)</f>
        <v>#REF!</v>
      </c>
      <c r="BV42" s="16" t="e">
        <f>VLOOKUP($BS42,$AS39:$BA42,6,FALSE)</f>
        <v>#REF!</v>
      </c>
      <c r="BW42" s="16" t="e">
        <f>IF(AND($BT40=$BT42,$BU40=$BU42,$BV42&gt;$BV40),$BS40,$BS42)</f>
        <v>#REF!</v>
      </c>
      <c r="BX42" s="16" t="e">
        <f>VLOOKUP($BW42,$AS39:$BA42,9,FALSE)</f>
        <v>#REF!</v>
      </c>
      <c r="BY42" s="16" t="e">
        <f>VLOOKUP($BW42,$AS39:$BA42,8,FALSE)</f>
        <v>#REF!</v>
      </c>
      <c r="BZ42" s="16" t="e">
        <f>VLOOKUP($BW42,$AS39:$BA42,6,FALSE)</f>
        <v>#REF!</v>
      </c>
      <c r="CA42" s="16" t="e">
        <f>IF(AND($BX39=$BX42,$BY39=$BY42,$BZ42&gt;$BZ39),$BW39,$BW42)</f>
        <v>#REF!</v>
      </c>
      <c r="CB42" s="16" t="e">
        <f>VLOOKUP($CA42,$AS39:$BA42,9,FALSE)</f>
        <v>#REF!</v>
      </c>
      <c r="CC42" s="16" t="e">
        <f>VLOOKUP($CA42,$AS39:$BA42,8,FALSE)</f>
        <v>#REF!</v>
      </c>
      <c r="CD42" s="16" t="e">
        <f>VLOOKUP($CA42,$AS39:$BA42,6,FALSE)</f>
        <v>#REF!</v>
      </c>
      <c r="CH42" s="16" t="e">
        <f>CA42</f>
        <v>#REF!</v>
      </c>
      <c r="CI42" s="16" t="e">
        <f>VLOOKUP($CH42,$AS39:$BA42,2,FALSE)</f>
        <v>#REF!</v>
      </c>
      <c r="CJ42" s="16" t="e">
        <f>VLOOKUP($CH42,$AS39:$BA42,3,FALSE)</f>
        <v>#REF!</v>
      </c>
      <c r="CK42" s="16" t="e">
        <f>VLOOKUP($CH42,$AS39:$BA42,4,FALSE)</f>
        <v>#REF!</v>
      </c>
      <c r="CL42" s="16" t="e">
        <f>VLOOKUP($CH42,$AS39:$BA42,5,FALSE)</f>
        <v>#REF!</v>
      </c>
      <c r="CM42" s="16" t="e">
        <f>VLOOKUP($CH42,$AS39:$BA42,6,FALSE)</f>
        <v>#REF!</v>
      </c>
      <c r="CN42" s="16" t="e">
        <f>VLOOKUP($CH42,$AS39:$BA42,7,FALSE)</f>
        <v>#REF!</v>
      </c>
      <c r="CO42" s="16" t="e">
        <f>VLOOKUP($CH42,$AS39:$BA42,8,FALSE)</f>
        <v>#REF!</v>
      </c>
      <c r="CP42" s="16" t="e">
        <f>VLOOKUP($CH42,$AS39:$BA42,9,FALSE)</f>
        <v>#REF!</v>
      </c>
      <c r="CR42" s="21" t="e">
        <f>#REF!</f>
        <v>#REF!</v>
      </c>
    </row>
    <row r="43" spans="1:96" ht="12.95" customHeight="1" thickBot="1" x14ac:dyDescent="0.25">
      <c r="A43" s="520">
        <f>A42</f>
        <v>0.57291666666666663</v>
      </c>
      <c r="B43" s="518"/>
      <c r="C43" s="283"/>
      <c r="D43" s="24" t="str">
        <f>AS41</f>
        <v>IAMB&amp;B</v>
      </c>
      <c r="E43" s="283" t="s">
        <v>16</v>
      </c>
      <c r="F43" s="518" t="str">
        <f>AS42</f>
        <v>3e Beste nrs. 3</v>
      </c>
      <c r="G43" s="518"/>
      <c r="H43" s="518"/>
      <c r="I43" s="165" t="str">
        <f>KWALIFICATIE!AD95</f>
        <v>…</v>
      </c>
      <c r="J43" s="334" t="s">
        <v>16</v>
      </c>
      <c r="K43" s="166" t="str">
        <f>KWALIFICATIE!AF95</f>
        <v>…</v>
      </c>
      <c r="L43" s="518"/>
      <c r="M43" s="518"/>
      <c r="N43" s="518"/>
      <c r="O43" s="518"/>
      <c r="P43" s="519"/>
      <c r="Q43" s="118"/>
      <c r="R43" s="520">
        <f>R42</f>
        <v>0.58333333333333337</v>
      </c>
      <c r="S43" s="518"/>
      <c r="T43" s="283"/>
      <c r="U43" s="24" t="str">
        <f>AS48</f>
        <v>2e Poule B</v>
      </c>
      <c r="V43" s="283" t="s">
        <v>16</v>
      </c>
      <c r="W43" s="518" t="str">
        <f>AS49</f>
        <v>De Kabel</v>
      </c>
      <c r="X43" s="518"/>
      <c r="Y43" s="518"/>
      <c r="Z43" s="165">
        <f>EINDRONDE!AD42</f>
        <v>6</v>
      </c>
      <c r="AA43" s="334" t="s">
        <v>16</v>
      </c>
      <c r="AB43" s="166">
        <f>EINDRONDE!AF42</f>
        <v>0</v>
      </c>
      <c r="AC43" s="518"/>
      <c r="AD43" s="518"/>
      <c r="AE43" s="518"/>
      <c r="AF43" s="518"/>
      <c r="AG43" s="519"/>
      <c r="AH43" s="69" t="s">
        <v>136</v>
      </c>
      <c r="AI43" s="70" t="s">
        <v>135</v>
      </c>
      <c r="AJ43" s="70" t="e">
        <f>I47</f>
        <v>#REF!</v>
      </c>
      <c r="AK43" s="232" t="e">
        <f>K47</f>
        <v>#REF!</v>
      </c>
      <c r="AL43" s="73" t="s">
        <v>143</v>
      </c>
      <c r="AM43" s="50" t="s">
        <v>142</v>
      </c>
      <c r="AN43" s="44" t="s">
        <v>137</v>
      </c>
      <c r="AO43" s="45" t="e">
        <f t="shared" si="4"/>
        <v>#REF!</v>
      </c>
      <c r="AP43" s="45" t="e">
        <f t="shared" si="5"/>
        <v>#REF!</v>
      </c>
      <c r="AQ43" s="45"/>
      <c r="CR43" s="21" t="e">
        <f>#REF!</f>
        <v>#REF!</v>
      </c>
    </row>
    <row r="44" spans="1:96" ht="12.95" customHeight="1" thickBot="1" x14ac:dyDescent="0.25">
      <c r="A44" s="520">
        <f>START!C19</f>
        <v>0.61458333333333337</v>
      </c>
      <c r="B44" s="518"/>
      <c r="C44" s="283"/>
      <c r="D44" s="24" t="str">
        <f>AS39</f>
        <v>FC Isjeneefer</v>
      </c>
      <c r="E44" s="283" t="s">
        <v>16</v>
      </c>
      <c r="F44" s="518" t="str">
        <f>AS41</f>
        <v>IAMB&amp;B</v>
      </c>
      <c r="G44" s="518"/>
      <c r="H44" s="518"/>
      <c r="I44" s="165">
        <f>EINDRONDE!AD39</f>
        <v>0</v>
      </c>
      <c r="J44" s="334" t="s">
        <v>16</v>
      </c>
      <c r="K44" s="166">
        <f>EINDRONDE!AF39</f>
        <v>0</v>
      </c>
      <c r="L44" s="518"/>
      <c r="M44" s="518"/>
      <c r="N44" s="518"/>
      <c r="O44" s="518"/>
      <c r="P44" s="519"/>
      <c r="Q44" s="118"/>
      <c r="R44" s="520">
        <f>START!C19</f>
        <v>0.61458333333333337</v>
      </c>
      <c r="S44" s="518"/>
      <c r="T44" s="283"/>
      <c r="U44" s="24" t="e">
        <f>AS46</f>
        <v>#REF!</v>
      </c>
      <c r="V44" s="283" t="s">
        <v>16</v>
      </c>
      <c r="W44" s="518" t="str">
        <f>AS48</f>
        <v>2e Poule B</v>
      </c>
      <c r="X44" s="518"/>
      <c r="Y44" s="518"/>
      <c r="Z44" s="165" t="e">
        <f>EINDRONDE!#REF!</f>
        <v>#REF!</v>
      </c>
      <c r="AA44" s="334" t="s">
        <v>16</v>
      </c>
      <c r="AB44" s="166" t="e">
        <f>EINDRONDE!#REF!</f>
        <v>#REF!</v>
      </c>
      <c r="AC44" s="518"/>
      <c r="AD44" s="518"/>
      <c r="AE44" s="518"/>
      <c r="AF44" s="518"/>
      <c r="AG44" s="519"/>
      <c r="AH44" s="69" t="s">
        <v>158</v>
      </c>
      <c r="AI44" s="70" t="s">
        <v>157</v>
      </c>
      <c r="AJ44" s="70" t="e">
        <f>Z46</f>
        <v>#REF!</v>
      </c>
      <c r="AK44" s="232" t="e">
        <f>AB46</f>
        <v>#REF!</v>
      </c>
      <c r="AL44" s="73" t="s">
        <v>147</v>
      </c>
      <c r="AM44" s="50" t="s">
        <v>146</v>
      </c>
      <c r="AN44" s="44" t="s">
        <v>127</v>
      </c>
      <c r="AO44" s="45" t="e">
        <f t="shared" si="4"/>
        <v>#REF!</v>
      </c>
      <c r="AP44" s="45" t="e">
        <f t="shared" si="5"/>
        <v>#REF!</v>
      </c>
      <c r="AQ44" s="45"/>
      <c r="AS44" s="16" t="s">
        <v>207</v>
      </c>
      <c r="CR44" s="21" t="e">
        <f>#REF!</f>
        <v>#REF!</v>
      </c>
    </row>
    <row r="45" spans="1:96" ht="12.95" customHeight="1" thickBot="1" x14ac:dyDescent="0.25">
      <c r="A45" s="520">
        <f>A44</f>
        <v>0.61458333333333337</v>
      </c>
      <c r="B45" s="518"/>
      <c r="C45" s="283"/>
      <c r="D45" s="24" t="str">
        <f>AS42</f>
        <v>3e Beste nrs. 3</v>
      </c>
      <c r="E45" s="283" t="s">
        <v>16</v>
      </c>
      <c r="F45" s="518" t="e">
        <f>AS40</f>
        <v>#REF!</v>
      </c>
      <c r="G45" s="518"/>
      <c r="H45" s="518"/>
      <c r="I45" s="165">
        <f>EINDRONDE!AD40</f>
        <v>0</v>
      </c>
      <c r="J45" s="334" t="s">
        <v>16</v>
      </c>
      <c r="K45" s="166">
        <f>EINDRONDE!AF40</f>
        <v>0</v>
      </c>
      <c r="L45" s="518"/>
      <c r="M45" s="518"/>
      <c r="N45" s="518"/>
      <c r="O45" s="518"/>
      <c r="P45" s="519"/>
      <c r="Q45" s="118"/>
      <c r="R45" s="520">
        <f>R44</f>
        <v>0.61458333333333337</v>
      </c>
      <c r="S45" s="518"/>
      <c r="T45" s="283"/>
      <c r="U45" s="24" t="str">
        <f>AS49</f>
        <v>De Kabel</v>
      </c>
      <c r="V45" s="283" t="s">
        <v>16</v>
      </c>
      <c r="W45" s="518" t="str">
        <f>AS47</f>
        <v>AccentSport Rakkers</v>
      </c>
      <c r="X45" s="518"/>
      <c r="Y45" s="518"/>
      <c r="Z45" s="165" t="e">
        <f>EINDRONDE!#REF!</f>
        <v>#REF!</v>
      </c>
      <c r="AA45" s="334" t="s">
        <v>16</v>
      </c>
      <c r="AB45" s="166" t="e">
        <f>EINDRONDE!#REF!</f>
        <v>#REF!</v>
      </c>
      <c r="AC45" s="518"/>
      <c r="AD45" s="518"/>
      <c r="AE45" s="518"/>
      <c r="AF45" s="518"/>
      <c r="AG45" s="519"/>
      <c r="AH45" s="69" t="s">
        <v>149</v>
      </c>
      <c r="AI45" s="70" t="s">
        <v>148</v>
      </c>
      <c r="AJ45" s="70">
        <f>Z47</f>
        <v>0</v>
      </c>
      <c r="AK45" s="232">
        <f>AB47</f>
        <v>0</v>
      </c>
      <c r="AL45" s="73" t="s">
        <v>156</v>
      </c>
      <c r="AM45" s="50" t="s">
        <v>155</v>
      </c>
      <c r="AN45" s="44" t="s">
        <v>127</v>
      </c>
      <c r="AO45" s="45" t="str">
        <f t="shared" si="4"/>
        <v>Draw</v>
      </c>
      <c r="AP45" s="45" t="str">
        <f t="shared" si="5"/>
        <v>Draw</v>
      </c>
      <c r="AQ45" s="45"/>
      <c r="AT45" s="16" t="s">
        <v>124</v>
      </c>
      <c r="AU45" s="16" t="s">
        <v>110</v>
      </c>
      <c r="AV45" s="16" t="s">
        <v>125</v>
      </c>
      <c r="AW45" s="16" t="s">
        <v>126</v>
      </c>
      <c r="AX45" s="16" t="s">
        <v>127</v>
      </c>
      <c r="AY45" s="16" t="s">
        <v>123</v>
      </c>
      <c r="AZ45" s="16" t="s">
        <v>128</v>
      </c>
      <c r="BA45" s="16" t="s">
        <v>129</v>
      </c>
      <c r="CR45" s="21" t="e">
        <f>#REF!</f>
        <v>#REF!</v>
      </c>
    </row>
    <row r="46" spans="1:96" ht="12.95" customHeight="1" thickBot="1" x14ac:dyDescent="0.25">
      <c r="A46" s="520">
        <f>START!C22</f>
        <v>0.64583333333333337</v>
      </c>
      <c r="B46" s="518"/>
      <c r="C46" s="283"/>
      <c r="D46" s="24" t="e">
        <f>AS40</f>
        <v>#REF!</v>
      </c>
      <c r="E46" s="283" t="s">
        <v>16</v>
      </c>
      <c r="F46" s="518" t="str">
        <f>AS41</f>
        <v>IAMB&amp;B</v>
      </c>
      <c r="G46" s="518"/>
      <c r="H46" s="518"/>
      <c r="I46" s="165" t="e">
        <f>EINDRONDE!#REF!</f>
        <v>#REF!</v>
      </c>
      <c r="J46" s="334" t="s">
        <v>16</v>
      </c>
      <c r="K46" s="166" t="e">
        <f>EINDRONDE!#REF!</f>
        <v>#REF!</v>
      </c>
      <c r="L46" s="518"/>
      <c r="M46" s="518"/>
      <c r="N46" s="518"/>
      <c r="O46" s="518"/>
      <c r="P46" s="519"/>
      <c r="Q46" s="118"/>
      <c r="R46" s="520">
        <f>START!C23</f>
        <v>0.65625</v>
      </c>
      <c r="S46" s="518"/>
      <c r="T46" s="283"/>
      <c r="U46" s="24" t="str">
        <f>AS47</f>
        <v>AccentSport Rakkers</v>
      </c>
      <c r="V46" s="283" t="s">
        <v>16</v>
      </c>
      <c r="W46" s="518" t="str">
        <f>AS48</f>
        <v>2e Poule B</v>
      </c>
      <c r="X46" s="518"/>
      <c r="Y46" s="518"/>
      <c r="Z46" s="165" t="e">
        <f>EINDRONDE!#REF!</f>
        <v>#REF!</v>
      </c>
      <c r="AA46" s="334" t="s">
        <v>16</v>
      </c>
      <c r="AB46" s="166" t="e">
        <f>EINDRONDE!#REF!</f>
        <v>#REF!</v>
      </c>
      <c r="AC46" s="518"/>
      <c r="AD46" s="518"/>
      <c r="AE46" s="518"/>
      <c r="AF46" s="518"/>
      <c r="AG46" s="519"/>
      <c r="AH46" s="69" t="s">
        <v>163</v>
      </c>
      <c r="AI46" s="70" t="s">
        <v>162</v>
      </c>
      <c r="AJ46" s="70" t="e">
        <f>Z15</f>
        <v>#REF!</v>
      </c>
      <c r="AK46" s="232" t="e">
        <f>AB15</f>
        <v>#REF!</v>
      </c>
      <c r="AL46" s="73" t="s">
        <v>151</v>
      </c>
      <c r="AM46" s="50" t="s">
        <v>150</v>
      </c>
      <c r="AN46" s="44" t="s">
        <v>154</v>
      </c>
      <c r="AO46" s="45" t="e">
        <f t="shared" si="4"/>
        <v>#REF!</v>
      </c>
      <c r="AP46" s="45" t="e">
        <f t="shared" si="5"/>
        <v>#REF!</v>
      </c>
      <c r="AQ46" s="45"/>
      <c r="AS46" s="16" t="e">
        <f>EINDRONDE!P14</f>
        <v>#REF!</v>
      </c>
      <c r="AT46" s="16">
        <f>COUNT(Argentina_Played)</f>
        <v>2</v>
      </c>
      <c r="AU46" s="16">
        <f>COUNTIF(Groupstage_Winners,"Argentina")</f>
        <v>0</v>
      </c>
      <c r="AV46" s="16">
        <f>COUNTIF(Groupstage_Losers,"Argentina")</f>
        <v>1</v>
      </c>
      <c r="AW46" s="16">
        <f>AT46-(AU46+AV46)</f>
        <v>1</v>
      </c>
      <c r="AX46" s="16" t="e">
        <f>SUM(Argentina_Played)</f>
        <v>#REF!</v>
      </c>
      <c r="AY46" s="16" t="e">
        <f>SUM(Argentina_Against)</f>
        <v>#REF!</v>
      </c>
      <c r="AZ46" s="16" t="e">
        <f>AX46-AY46</f>
        <v>#REF!</v>
      </c>
      <c r="BA46" s="16">
        <f>SUM((AU46*3)+(AW46*1))</f>
        <v>1</v>
      </c>
      <c r="BB46" s="16" t="str">
        <f>IF($BA46&gt;=$BA47,$AS46,$AS47)</f>
        <v>AccentSport Rakkers</v>
      </c>
      <c r="BC46" s="16">
        <f>VLOOKUP($BB46,$AS46:$BA49,9,FALSE)</f>
        <v>3</v>
      </c>
      <c r="BD46" s="16" t="str">
        <f>IF($BC46&gt;=$BC48,$BB46,$BB48)</f>
        <v>AccentSport Rakkers</v>
      </c>
      <c r="BE46" s="16">
        <f>VLOOKUP($BD46,$AS46:$BA49,9,FALSE)</f>
        <v>3</v>
      </c>
      <c r="BF46" s="16" t="e">
        <f>IF($BE46&gt;=$BE49,$BD46,$BD49)</f>
        <v>#REF!</v>
      </c>
      <c r="BG46" s="16" t="e">
        <f>VLOOKUP($BF46,$AS46:$BA49,9,FALSE)</f>
        <v>#REF!</v>
      </c>
      <c r="BH46" s="16" t="e">
        <f>VLOOKUP($BF46,$AS46:$BA49,8,FALSE)</f>
        <v>#REF!</v>
      </c>
      <c r="BI46" s="16" t="e">
        <f>IF(AND($BG46=$BG47,$BH47&gt;$BH46),$BF47,$BF46)</f>
        <v>#REF!</v>
      </c>
      <c r="BJ46" s="16" t="e">
        <f>VLOOKUP($BI46,$AS46:$BA49,9,FALSE)</f>
        <v>#REF!</v>
      </c>
      <c r="BK46" s="16" t="e">
        <f>VLOOKUP($BI46,$AS46:$BA49,8,FALSE)</f>
        <v>#REF!</v>
      </c>
      <c r="BL46" s="16" t="e">
        <f>IF(AND($BJ46=$BJ48,$BK48&gt;$BK46),$BI48,$BI46)</f>
        <v>#REF!</v>
      </c>
      <c r="BM46" s="16" t="e">
        <f>VLOOKUP($BL46,$AS46:$BA49,9,FALSE)</f>
        <v>#REF!</v>
      </c>
      <c r="BN46" s="16" t="e">
        <f>VLOOKUP($BL46,$AS46:$BA49,8,FALSE)</f>
        <v>#REF!</v>
      </c>
      <c r="BO46" s="16" t="e">
        <f>IF(AND($BM46=$BM49,$BN49&gt;$BN46),$BL49,$BL46)</f>
        <v>#REF!</v>
      </c>
      <c r="BP46" s="16" t="e">
        <f>VLOOKUP($BO46,$AS46:$BA49,9,FALSE)</f>
        <v>#REF!</v>
      </c>
      <c r="BQ46" s="16" t="e">
        <f>VLOOKUP($BO46,$AS46:$BA49,8,FALSE)</f>
        <v>#REF!</v>
      </c>
      <c r="BR46" s="16" t="e">
        <f>VLOOKUP($BO46,$AS46:$BA49,6,FALSE)</f>
        <v>#REF!</v>
      </c>
      <c r="BS46" s="16" t="e">
        <f>IF(AND($BP46=$BP47,$BQ46=$BQ47,$BR47&gt;$BR46),$BO47,$BO46)</f>
        <v>#REF!</v>
      </c>
      <c r="BT46" s="16" t="e">
        <f>VLOOKUP($BS46,$AS46:$BA49,9,FALSE)</f>
        <v>#REF!</v>
      </c>
      <c r="BU46" s="16" t="e">
        <f>VLOOKUP($BS46,$AS46:$BA49,8,FALSE)</f>
        <v>#REF!</v>
      </c>
      <c r="BV46" s="16" t="e">
        <f>VLOOKUP($BS46,$AS46:$BA49,6,FALSE)</f>
        <v>#REF!</v>
      </c>
      <c r="BW46" s="16" t="e">
        <f>IF(AND($BT46=$BT48,$BU46=$BU48,$BV48&gt;$BV46),$BS48,$BS46)</f>
        <v>#REF!</v>
      </c>
      <c r="BX46" s="16" t="e">
        <f>VLOOKUP($BW46,$AS46:$BA49,9,FALSE)</f>
        <v>#REF!</v>
      </c>
      <c r="BY46" s="16" t="e">
        <f>VLOOKUP($BW46,$AS46:$BA49,8,FALSE)</f>
        <v>#REF!</v>
      </c>
      <c r="BZ46" s="16" t="e">
        <f>VLOOKUP($BW46,$AS46:$BA49,6,FALSE)</f>
        <v>#REF!</v>
      </c>
      <c r="CA46" s="16" t="e">
        <f>IF(AND($BX46=$BX49,$BY46=$BY49,$BZ49&gt;$BZ46),$BW49,$BW46)</f>
        <v>#REF!</v>
      </c>
      <c r="CB46" s="16" t="e">
        <f>VLOOKUP($CA46,$AS46:$BA49,9,FALSE)</f>
        <v>#REF!</v>
      </c>
      <c r="CC46" s="16" t="e">
        <f>VLOOKUP($CA46,$AS46:$BA49,8,FALSE)</f>
        <v>#REF!</v>
      </c>
      <c r="CD46" s="16" t="e">
        <f>VLOOKUP($CA46,$AS46:$BA49,6,FALSE)</f>
        <v>#REF!</v>
      </c>
      <c r="CH46" s="16" t="e">
        <f>CA46</f>
        <v>#REF!</v>
      </c>
      <c r="CI46" s="16" t="e">
        <f>VLOOKUP($CH46,$AS46:$BA49,2,FALSE)</f>
        <v>#REF!</v>
      </c>
      <c r="CJ46" s="16" t="e">
        <f>VLOOKUP($CH46,$AS46:$BA49,3,FALSE)</f>
        <v>#REF!</v>
      </c>
      <c r="CK46" s="16" t="e">
        <f>VLOOKUP($CH46,$AS46:$BA49,4,FALSE)</f>
        <v>#REF!</v>
      </c>
      <c r="CL46" s="16" t="e">
        <f>VLOOKUP($CH46,$AS46:$BA49,5,FALSE)</f>
        <v>#REF!</v>
      </c>
      <c r="CM46" s="16" t="e">
        <f>VLOOKUP($CH46,$AS46:$BA49,6,FALSE)</f>
        <v>#REF!</v>
      </c>
      <c r="CN46" s="16" t="e">
        <f>VLOOKUP($CH46,$AS46:$BA49,7,FALSE)</f>
        <v>#REF!</v>
      </c>
      <c r="CO46" s="16" t="e">
        <f>VLOOKUP($CH46,$AS46:$BA49,8,FALSE)</f>
        <v>#REF!</v>
      </c>
      <c r="CP46" s="16" t="e">
        <f>VLOOKUP($CH46,$AS46:$BA49,9,FALSE)</f>
        <v>#REF!</v>
      </c>
      <c r="CR46" s="21" t="e">
        <f>#REF!</f>
        <v>#REF!</v>
      </c>
    </row>
    <row r="47" spans="1:96" ht="12.95" customHeight="1" thickBot="1" x14ac:dyDescent="0.25">
      <c r="A47" s="528">
        <f>A46</f>
        <v>0.64583333333333337</v>
      </c>
      <c r="B47" s="529"/>
      <c r="C47" s="272"/>
      <c r="D47" s="30" t="str">
        <f>AS42</f>
        <v>3e Beste nrs. 3</v>
      </c>
      <c r="E47" s="272" t="s">
        <v>16</v>
      </c>
      <c r="F47" s="529" t="str">
        <f>AS39</f>
        <v>FC Isjeneefer</v>
      </c>
      <c r="G47" s="529"/>
      <c r="H47" s="529"/>
      <c r="I47" s="248" t="e">
        <f>EINDRONDE!#REF!</f>
        <v>#REF!</v>
      </c>
      <c r="J47" s="247" t="s">
        <v>16</v>
      </c>
      <c r="K47" s="249" t="e">
        <f>EINDRONDE!#REF!</f>
        <v>#REF!</v>
      </c>
      <c r="L47" s="529"/>
      <c r="M47" s="529"/>
      <c r="N47" s="529"/>
      <c r="O47" s="529"/>
      <c r="P47" s="530"/>
      <c r="Q47" s="118"/>
      <c r="R47" s="528">
        <f>R46</f>
        <v>0.65625</v>
      </c>
      <c r="S47" s="529"/>
      <c r="T47" s="272"/>
      <c r="U47" s="30" t="str">
        <f>AS49</f>
        <v>De Kabel</v>
      </c>
      <c r="V47" s="272" t="s">
        <v>16</v>
      </c>
      <c r="W47" s="529" t="e">
        <f>AS46</f>
        <v>#REF!</v>
      </c>
      <c r="X47" s="529"/>
      <c r="Y47" s="529"/>
      <c r="Z47" s="248">
        <f>EINDRONDE!AD62</f>
        <v>0</v>
      </c>
      <c r="AA47" s="247" t="s">
        <v>16</v>
      </c>
      <c r="AB47" s="249">
        <f>EINDRONDE!AF62</f>
        <v>0</v>
      </c>
      <c r="AC47" s="529"/>
      <c r="AD47" s="529"/>
      <c r="AE47" s="529"/>
      <c r="AF47" s="529"/>
      <c r="AG47" s="530"/>
      <c r="AH47" s="69" t="s">
        <v>153</v>
      </c>
      <c r="AI47" s="70" t="s">
        <v>152</v>
      </c>
      <c r="AJ47" s="70" t="e">
        <f>Z16</f>
        <v>#REF!</v>
      </c>
      <c r="AK47" s="232" t="e">
        <f>AB16</f>
        <v>#REF!</v>
      </c>
      <c r="AL47" s="73" t="s">
        <v>161</v>
      </c>
      <c r="AM47" s="50" t="s">
        <v>160</v>
      </c>
      <c r="AN47" s="44" t="s">
        <v>154</v>
      </c>
      <c r="AO47" s="45" t="e">
        <f t="shared" si="4"/>
        <v>#REF!</v>
      </c>
      <c r="AP47" s="45" t="e">
        <f t="shared" si="5"/>
        <v>#REF!</v>
      </c>
      <c r="AQ47" s="45"/>
      <c r="AS47" s="16" t="str">
        <f>EINDRONDE!P15</f>
        <v>AccentSport Rakkers</v>
      </c>
      <c r="AT47" s="16">
        <f>COUNT(Nigeria_Played)</f>
        <v>1</v>
      </c>
      <c r="AU47" s="16">
        <f>COUNTIF(Groupstage_Winners,"Nigeria")</f>
        <v>1</v>
      </c>
      <c r="AV47" s="16">
        <f>COUNTIF(Groupstage_Losers,"Nigeria")</f>
        <v>0</v>
      </c>
      <c r="AW47" s="16">
        <f>AT47-(AU47+AV47)</f>
        <v>0</v>
      </c>
      <c r="AX47" s="16" t="e">
        <f>SUM(Nigeria_Played)</f>
        <v>#REF!</v>
      </c>
      <c r="AY47" s="16" t="e">
        <f>SUM(Nigeria_Against)</f>
        <v>#REF!</v>
      </c>
      <c r="AZ47" s="16" t="e">
        <f>AX47-AY47</f>
        <v>#REF!</v>
      </c>
      <c r="BA47" s="16">
        <f t="shared" ref="BA47:BA49" si="19">SUM((AU47*3)+(AW47*1))</f>
        <v>3</v>
      </c>
      <c r="BB47" s="16" t="e">
        <f>IF($BA47&lt;=$BA46,$AS47,$AS46)</f>
        <v>#REF!</v>
      </c>
      <c r="BC47" s="16" t="e">
        <f>VLOOKUP($BB47,$AS46:$BA49,9,FALSE)</f>
        <v>#REF!</v>
      </c>
      <c r="BD47" s="16" t="e">
        <f>IF(BC47&gt;=BC49,BB47,BB49)</f>
        <v>#REF!</v>
      </c>
      <c r="BE47" s="16" t="e">
        <f>VLOOKUP($BD47,$AS46:$BA49,9,FALSE)</f>
        <v>#REF!</v>
      </c>
      <c r="BF47" s="16" t="e">
        <f>IF($BE47&gt;=$BE48,$BD47,$BD48)</f>
        <v>#REF!</v>
      </c>
      <c r="BG47" s="16" t="e">
        <f>VLOOKUP($BF47,$AS46:$BA49,9,FALSE)</f>
        <v>#REF!</v>
      </c>
      <c r="BH47" s="16" t="e">
        <f>VLOOKUP($BF47,$AS46:$BA49,8,FALSE)</f>
        <v>#REF!</v>
      </c>
      <c r="BI47" s="16" t="e">
        <f>IF(AND($BG46=$BG47,$BH47&gt;$BH46),$BF46,$BF47)</f>
        <v>#REF!</v>
      </c>
      <c r="BJ47" s="16" t="e">
        <f>VLOOKUP($BI47,$AS46:$BA49,9,FALSE)</f>
        <v>#REF!</v>
      </c>
      <c r="BK47" s="16" t="e">
        <f>VLOOKUP($BI47,$AS46:$BA49,8,FALSE)</f>
        <v>#REF!</v>
      </c>
      <c r="BL47" s="16" t="e">
        <f>IF(AND($BJ47=$BJ49,$BK49&gt;$BK47),$BI49,$BI47)</f>
        <v>#REF!</v>
      </c>
      <c r="BM47" s="16" t="e">
        <f>VLOOKUP($BL47,$AS46:$BA49,9,FALSE)</f>
        <v>#REF!</v>
      </c>
      <c r="BN47" s="16" t="e">
        <f>VLOOKUP($BL47,$AS46:$BA49,8,FALSE)</f>
        <v>#REF!</v>
      </c>
      <c r="BO47" s="16" t="e">
        <f>IF(AND($BM47=$BM48,$BN48&gt;$BN47),$BL48,$BL47)</f>
        <v>#REF!</v>
      </c>
      <c r="BP47" s="16" t="e">
        <f>VLOOKUP($BO47,$AS46:$BA49,9,FALSE)</f>
        <v>#REF!</v>
      </c>
      <c r="BQ47" s="16" t="e">
        <f>VLOOKUP($BO47,$AS46:$BA49,8,FALSE)</f>
        <v>#REF!</v>
      </c>
      <c r="BR47" s="16" t="e">
        <f>VLOOKUP($BO47,$AS46:$BA49,6,FALSE)</f>
        <v>#REF!</v>
      </c>
      <c r="BS47" s="16" t="e">
        <f>IF(AND($BP46=$BP47,$BQ46=$BQ47,$BR47&gt;$BR46),$BO46,$BO47)</f>
        <v>#REF!</v>
      </c>
      <c r="BT47" s="16" t="e">
        <f>VLOOKUP($BS47,$AS46:$BA49,9,FALSE)</f>
        <v>#REF!</v>
      </c>
      <c r="BU47" s="16" t="e">
        <f>VLOOKUP($BS47,$AS46:$BA49,8,FALSE)</f>
        <v>#REF!</v>
      </c>
      <c r="BV47" s="16" t="e">
        <f>VLOOKUP($BS47,$AS46:$BA49,6,FALSE)</f>
        <v>#REF!</v>
      </c>
      <c r="BW47" s="16" t="e">
        <f>IF(AND($BT47=$BT49,$BU47=$BU49,$BV49&gt;$BV47),$BS49,$BS47)</f>
        <v>#REF!</v>
      </c>
      <c r="BX47" s="16" t="e">
        <f>VLOOKUP($BW47,$AS46:$BA49,9,FALSE)</f>
        <v>#REF!</v>
      </c>
      <c r="BY47" s="16" t="e">
        <f>VLOOKUP($BW47,$AS46:$BA49,8,FALSE)</f>
        <v>#REF!</v>
      </c>
      <c r="BZ47" s="16" t="e">
        <f>VLOOKUP($BW47,$AS46:$BA49,6,FALSE)</f>
        <v>#REF!</v>
      </c>
      <c r="CA47" s="16" t="e">
        <f>IF(AND($BX47=$BX48,$BY47=$BY48,$BZ48&gt;$BZ47),$BW48,$BW47)</f>
        <v>#REF!</v>
      </c>
      <c r="CB47" s="16" t="e">
        <f>VLOOKUP($CA47,$AS46:$BA49,9,FALSE)</f>
        <v>#REF!</v>
      </c>
      <c r="CC47" s="16" t="e">
        <f>VLOOKUP($CA47,$AS46:$BA49,8,FALSE)</f>
        <v>#REF!</v>
      </c>
      <c r="CD47" s="16" t="e">
        <f>VLOOKUP($CA47,$AS46:$BA49,6,FALSE)</f>
        <v>#REF!</v>
      </c>
      <c r="CH47" s="16" t="e">
        <f>CA47</f>
        <v>#REF!</v>
      </c>
      <c r="CI47" s="16" t="e">
        <f>VLOOKUP($CH47,$AS46:$BA49,2,FALSE)</f>
        <v>#REF!</v>
      </c>
      <c r="CJ47" s="16" t="e">
        <f>VLOOKUP($CH47,$AS46:$BA49,3,FALSE)</f>
        <v>#REF!</v>
      </c>
      <c r="CK47" s="16" t="e">
        <f>VLOOKUP($CH47,$AS46:$BA49,4,FALSE)</f>
        <v>#REF!</v>
      </c>
      <c r="CL47" s="16" t="e">
        <f>VLOOKUP($CH47,$AS46:$BA49,5,FALSE)</f>
        <v>#REF!</v>
      </c>
      <c r="CM47" s="16" t="e">
        <f>VLOOKUP($CH47,$AS46:$BA49,6,FALSE)</f>
        <v>#REF!</v>
      </c>
      <c r="CN47" s="16" t="e">
        <f>VLOOKUP($CH47,$AS46:$BA49,7,FALSE)</f>
        <v>#REF!</v>
      </c>
      <c r="CO47" s="16" t="e">
        <f>VLOOKUP($CH47,$AS46:$BA49,8,FALSE)</f>
        <v>#REF!</v>
      </c>
      <c r="CP47" s="16" t="e">
        <f>VLOOKUP($CH47,$AS46:$BA49,9,FALSE)</f>
        <v>#REF!</v>
      </c>
      <c r="CR47" s="21" t="e">
        <f>#REF!</f>
        <v>#REF!</v>
      </c>
    </row>
    <row r="48" spans="1:96" ht="13.5" thickBot="1" x14ac:dyDescent="0.25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AH48" s="69" t="s">
        <v>171</v>
      </c>
      <c r="AI48" s="70" t="s">
        <v>170</v>
      </c>
      <c r="AJ48" s="70" t="e">
        <f>I30</f>
        <v>#REF!</v>
      </c>
      <c r="AK48" s="232" t="e">
        <f>K30</f>
        <v>#REF!</v>
      </c>
      <c r="AL48" s="73" t="s">
        <v>178</v>
      </c>
      <c r="AM48" s="52" t="s">
        <v>177</v>
      </c>
      <c r="AN48" s="44" t="s">
        <v>172</v>
      </c>
      <c r="AO48" s="45" t="e">
        <f t="shared" si="4"/>
        <v>#REF!</v>
      </c>
      <c r="AP48" s="45" t="e">
        <f t="shared" si="5"/>
        <v>#REF!</v>
      </c>
      <c r="AQ48" s="45"/>
      <c r="AS48" s="16" t="str">
        <f>EINDRONDE!P16</f>
        <v>2e Poule B</v>
      </c>
      <c r="AT48" s="16">
        <f>COUNT(England_Played)</f>
        <v>1</v>
      </c>
      <c r="AU48" s="16">
        <f>COUNTIF(Groupstage_Winners,"England")</f>
        <v>1</v>
      </c>
      <c r="AV48" s="16">
        <f>COUNTIF(Groupstage_Losers,"England")</f>
        <v>0</v>
      </c>
      <c r="AW48" s="16">
        <f>AT48-(AU48+AV48)</f>
        <v>0</v>
      </c>
      <c r="AX48" s="16" t="e">
        <f>SUM(England_Played)</f>
        <v>#REF!</v>
      </c>
      <c r="AY48" s="16" t="e">
        <f>SUM(England_Against)</f>
        <v>#REF!</v>
      </c>
      <c r="AZ48" s="16" t="e">
        <f>AX48-AY48</f>
        <v>#REF!</v>
      </c>
      <c r="BA48" s="16">
        <f t="shared" si="19"/>
        <v>3</v>
      </c>
      <c r="BB48" s="16" t="str">
        <f>IF($BA48&gt;=$BA49,$AS48,$AS49)</f>
        <v>2e Poule B</v>
      </c>
      <c r="BC48" s="16">
        <f>VLOOKUP($BB48,$AS46:$BA49,9,FALSE)</f>
        <v>3</v>
      </c>
      <c r="BD48" s="16" t="str">
        <f>IF($BC48&lt;=$BC46,$BB48,$BB46)</f>
        <v>2e Poule B</v>
      </c>
      <c r="BE48" s="16">
        <f>VLOOKUP($BD48,$AS46:$BA49,9,FALSE)</f>
        <v>3</v>
      </c>
      <c r="BF48" s="16" t="e">
        <f>IF($BE48&lt;=$BE47,$BD48,$BD47)</f>
        <v>#REF!</v>
      </c>
      <c r="BG48" s="16" t="e">
        <f>VLOOKUP($BF48,$AS46:$BA49,9,FALSE)</f>
        <v>#REF!</v>
      </c>
      <c r="BH48" s="16" t="e">
        <f>VLOOKUP($BF48,$AS46:$BA49,8,FALSE)</f>
        <v>#REF!</v>
      </c>
      <c r="BI48" s="16" t="e">
        <f>IF(AND($BG48=$BG49,$BH49&gt;$BH48),$BF49,$BF48)</f>
        <v>#REF!</v>
      </c>
      <c r="BJ48" s="16" t="e">
        <f>VLOOKUP($BI48,$AS46:$BA49,9,FALSE)</f>
        <v>#REF!</v>
      </c>
      <c r="BK48" s="16" t="e">
        <f>VLOOKUP($BI48,$AS46:$BA49,8,FALSE)</f>
        <v>#REF!</v>
      </c>
      <c r="BL48" s="16" t="e">
        <f>IF(AND($BJ46=$BJ48,$BK48&gt;$BK46),$BI46,$BI48)</f>
        <v>#REF!</v>
      </c>
      <c r="BM48" s="16" t="e">
        <f>VLOOKUP($BL48,$AS46:$BA49,9,FALSE)</f>
        <v>#REF!</v>
      </c>
      <c r="BN48" s="16" t="e">
        <f>VLOOKUP($BL48,$AS46:$BA49,8,FALSE)</f>
        <v>#REF!</v>
      </c>
      <c r="BO48" s="16" t="e">
        <f>IF(AND($BM47=$BM48,$BN48&gt;$BN47),$BL47,$BL48)</f>
        <v>#REF!</v>
      </c>
      <c r="BP48" s="16" t="e">
        <f>VLOOKUP($BO48,$AS46:$BA49,9,FALSE)</f>
        <v>#REF!</v>
      </c>
      <c r="BQ48" s="16" t="e">
        <f>VLOOKUP($BO48,$AS46:$BA49,8,FALSE)</f>
        <v>#REF!</v>
      </c>
      <c r="BR48" s="16" t="e">
        <f>VLOOKUP($BO48,$AS46:$BA49,6,FALSE)</f>
        <v>#REF!</v>
      </c>
      <c r="BS48" s="16" t="e">
        <f>IF(AND($BP48=$BP49,$BQ48=$BQ49,$BR49&gt;$BR48),$BO49,$BO48)</f>
        <v>#REF!</v>
      </c>
      <c r="BT48" s="16" t="e">
        <f>VLOOKUP($BS48,$AS46:$BA49,9,FALSE)</f>
        <v>#REF!</v>
      </c>
      <c r="BU48" s="16" t="e">
        <f>VLOOKUP($BS48,$AS46:$BA49,8,FALSE)</f>
        <v>#REF!</v>
      </c>
      <c r="BV48" s="16" t="e">
        <f>VLOOKUP($BS48,$AS46:$BA49,6,FALSE)</f>
        <v>#REF!</v>
      </c>
      <c r="BW48" s="16" t="e">
        <f>IF(AND($BT46=$BT48,$BU46=$BU48,$BV47&gt;$BV46),$BS46,$BS48)</f>
        <v>#REF!</v>
      </c>
      <c r="BX48" s="16" t="e">
        <f>VLOOKUP($BW48,$AS46:$BA49,9,FALSE)</f>
        <v>#REF!</v>
      </c>
      <c r="BY48" s="16" t="e">
        <f>VLOOKUP($BW48,$AS46:$BA49,8,FALSE)</f>
        <v>#REF!</v>
      </c>
      <c r="BZ48" s="16" t="e">
        <f>VLOOKUP($BW48,$AS46:$BA49,6,FALSE)</f>
        <v>#REF!</v>
      </c>
      <c r="CA48" s="16" t="e">
        <f>IF(AND($BX47=$BX48,$BY47=$BY48,$BZ48&gt;$BZ47),$BW47,$BW48)</f>
        <v>#REF!</v>
      </c>
      <c r="CB48" s="16" t="e">
        <f>VLOOKUP($CA48,$AS46:$BA49,9,FALSE)</f>
        <v>#REF!</v>
      </c>
      <c r="CC48" s="16" t="e">
        <f>VLOOKUP($CA48,$AS46:$BA49,8,FALSE)</f>
        <v>#REF!</v>
      </c>
      <c r="CD48" s="16" t="e">
        <f>VLOOKUP($CA48,$AS46:$BA49,6,FALSE)</f>
        <v>#REF!</v>
      </c>
      <c r="CH48" s="16" t="e">
        <f>CA48</f>
        <v>#REF!</v>
      </c>
      <c r="CI48" s="16" t="e">
        <f>VLOOKUP($CH48,$AS46:$BA49,2,FALSE)</f>
        <v>#REF!</v>
      </c>
      <c r="CJ48" s="16" t="e">
        <f>VLOOKUP($CH48,$AS46:$BA49,3,FALSE)</f>
        <v>#REF!</v>
      </c>
      <c r="CK48" s="16" t="e">
        <f>VLOOKUP($CH48,$AS46:$BA49,4,FALSE)</f>
        <v>#REF!</v>
      </c>
      <c r="CL48" s="16" t="e">
        <f>VLOOKUP($CH48,$AS46:$BA49,5,FALSE)</f>
        <v>#REF!</v>
      </c>
      <c r="CM48" s="16" t="e">
        <f>VLOOKUP($CH48,$AS46:$BA49,6,FALSE)</f>
        <v>#REF!</v>
      </c>
      <c r="CN48" s="16" t="e">
        <f>VLOOKUP($CH48,$AS46:$BA49,7,FALSE)</f>
        <v>#REF!</v>
      </c>
      <c r="CO48" s="16" t="e">
        <f>VLOOKUP($CH48,$AS46:$BA49,8,FALSE)</f>
        <v>#REF!</v>
      </c>
      <c r="CP48" s="16" t="e">
        <f>VLOOKUP($CH48,$AS46:$BA49,9,FALSE)</f>
        <v>#REF!</v>
      </c>
      <c r="CR48" s="21" t="e">
        <f>#REF!</f>
        <v>#REF!</v>
      </c>
    </row>
    <row r="49" spans="1:96" ht="18.75" thickBot="1" x14ac:dyDescent="0.3">
      <c r="A49" s="546"/>
      <c r="B49" s="546"/>
      <c r="C49" s="546"/>
      <c r="D49" s="546"/>
      <c r="E49" s="546"/>
      <c r="F49" s="546"/>
      <c r="G49" s="546"/>
      <c r="H49" s="546"/>
      <c r="I49" s="546"/>
      <c r="J49" s="546"/>
      <c r="K49" s="546"/>
      <c r="L49" s="546"/>
      <c r="M49" s="546"/>
      <c r="N49" s="546"/>
      <c r="O49" s="546"/>
      <c r="P49" s="546"/>
      <c r="R49" s="546"/>
      <c r="S49" s="546"/>
      <c r="T49" s="546"/>
      <c r="U49" s="546"/>
      <c r="V49" s="546"/>
      <c r="W49" s="546"/>
      <c r="X49" s="546"/>
      <c r="Y49" s="546"/>
      <c r="Z49" s="546"/>
      <c r="AA49" s="546"/>
      <c r="AB49" s="546"/>
      <c r="AC49" s="546"/>
      <c r="AD49" s="546"/>
      <c r="AE49" s="546"/>
      <c r="AF49" s="546"/>
      <c r="AG49" s="546"/>
      <c r="AH49" s="70" t="s">
        <v>180</v>
      </c>
      <c r="AI49" s="70" t="s">
        <v>179</v>
      </c>
      <c r="AJ49" s="70" t="e">
        <f>I31</f>
        <v>#REF!</v>
      </c>
      <c r="AK49" s="232" t="e">
        <f>K31</f>
        <v>#REF!</v>
      </c>
      <c r="AL49" s="73" t="s">
        <v>169</v>
      </c>
      <c r="AM49" s="51" t="s">
        <v>168</v>
      </c>
      <c r="AN49" s="44" t="s">
        <v>172</v>
      </c>
      <c r="AO49" s="45" t="e">
        <f t="shared" si="4"/>
        <v>#REF!</v>
      </c>
      <c r="AP49" s="45" t="e">
        <f t="shared" si="5"/>
        <v>#REF!</v>
      </c>
      <c r="AQ49" s="45"/>
      <c r="AS49" s="16" t="str">
        <f>EINDRONDE!P17</f>
        <v>De Kabel</v>
      </c>
      <c r="AT49" s="16">
        <f>COUNT(Sweden_Played)</f>
        <v>2</v>
      </c>
      <c r="AU49" s="16">
        <f>COUNTIF(Groupstage_Winners,"Sweden")</f>
        <v>0</v>
      </c>
      <c r="AV49" s="16">
        <f>COUNTIF(Groupstage_Losers,"Sweden")</f>
        <v>1</v>
      </c>
      <c r="AW49" s="16">
        <f>AT49-(AU49+AV49)</f>
        <v>1</v>
      </c>
      <c r="AX49" s="16" t="e">
        <f>SUM(Sweden_Played)</f>
        <v>#REF!</v>
      </c>
      <c r="AY49" s="16" t="e">
        <f>SUM(Sweden_Against)</f>
        <v>#REF!</v>
      </c>
      <c r="AZ49" s="16" t="e">
        <f>AX49-AY49</f>
        <v>#REF!</v>
      </c>
      <c r="BA49" s="16">
        <f t="shared" si="19"/>
        <v>1</v>
      </c>
      <c r="BB49" s="16" t="str">
        <f>IF($BA49&lt;=$BA48,$AS49,$AS48)</f>
        <v>De Kabel</v>
      </c>
      <c r="BC49" s="16">
        <f>VLOOKUP($BB49,$AS46:$BA49,9,FALSE)</f>
        <v>1</v>
      </c>
      <c r="BD49" s="16" t="e">
        <f>IF(BC49&lt;=BC47,BB49,BB47)</f>
        <v>#REF!</v>
      </c>
      <c r="BE49" s="16" t="e">
        <f>VLOOKUP($BD49,$AS46:$BA49,9,FALSE)</f>
        <v>#REF!</v>
      </c>
      <c r="BF49" s="16" t="e">
        <f>IF($BE49&lt;=$BE46,$BD49,$BD46)</f>
        <v>#REF!</v>
      </c>
      <c r="BG49" s="16" t="e">
        <f>VLOOKUP($BF49,$AS46:$BA49,9,FALSE)</f>
        <v>#REF!</v>
      </c>
      <c r="BH49" s="16" t="e">
        <f>VLOOKUP($BF49,$AS46:$BA49,8,FALSE)</f>
        <v>#REF!</v>
      </c>
      <c r="BI49" s="16" t="e">
        <f>IF(AND($BG48=$BG49,$BH49&gt;$BH48),$BF48,$BF49)</f>
        <v>#REF!</v>
      </c>
      <c r="BJ49" s="16" t="e">
        <f>VLOOKUP($BI49,$AS46:$BA49,9,FALSE)</f>
        <v>#REF!</v>
      </c>
      <c r="BK49" s="16" t="e">
        <f>VLOOKUP($BI49,$AS46:$BA49,8,FALSE)</f>
        <v>#REF!</v>
      </c>
      <c r="BL49" s="16" t="e">
        <f>IF(AND($BJ47=$BJ49,$BK49&gt;$BK47),$BI47,$BI49)</f>
        <v>#REF!</v>
      </c>
      <c r="BM49" s="16" t="e">
        <f>VLOOKUP($BL49,$AS46:$BA49,9,FALSE)</f>
        <v>#REF!</v>
      </c>
      <c r="BN49" s="16" t="e">
        <f>VLOOKUP($BL49,$AS46:$BA49,8,FALSE)</f>
        <v>#REF!</v>
      </c>
      <c r="BO49" s="16" t="e">
        <f>IF(AND($BM46=$BM49,$BN49&gt;$BN46),$BL46,$BL49)</f>
        <v>#REF!</v>
      </c>
      <c r="BP49" s="16" t="e">
        <f>VLOOKUP($BO49,$AS46:$BA49,9,FALSE)</f>
        <v>#REF!</v>
      </c>
      <c r="BQ49" s="16" t="e">
        <f>VLOOKUP($BO49,$AS46:$BA49,8,FALSE)</f>
        <v>#REF!</v>
      </c>
      <c r="BR49" s="16" t="e">
        <f>VLOOKUP($BO49,$AS46:$BA49,6,FALSE)</f>
        <v>#REF!</v>
      </c>
      <c r="BS49" s="16" t="e">
        <f>IF(AND($BP48=$BP49,$BQ48=$BQ49,$BR49&gt;$BR48),$BO48,$BO49)</f>
        <v>#REF!</v>
      </c>
      <c r="BT49" s="16" t="e">
        <f>VLOOKUP($BS49,$AS46:$BA49,9,FALSE)</f>
        <v>#REF!</v>
      </c>
      <c r="BU49" s="16" t="e">
        <f>VLOOKUP($BS49,$AS46:$BA49,8,FALSE)</f>
        <v>#REF!</v>
      </c>
      <c r="BV49" s="16" t="e">
        <f>VLOOKUP($BS49,$AS46:$BA49,6,FALSE)</f>
        <v>#REF!</v>
      </c>
      <c r="BW49" s="16" t="e">
        <f>IF(AND($BT47=$BT49,$BU47=$BU49,$BV49&gt;$BV47),$BS47,$BS49)</f>
        <v>#REF!</v>
      </c>
      <c r="BX49" s="16" t="e">
        <f>VLOOKUP($BW49,$AS46:$BA49,9,FALSE)</f>
        <v>#REF!</v>
      </c>
      <c r="BY49" s="16" t="e">
        <f>VLOOKUP($BW49,$AS46:$BA49,8,FALSE)</f>
        <v>#REF!</v>
      </c>
      <c r="BZ49" s="16" t="e">
        <f>VLOOKUP($BW49,$AS46:$BA49,6,FALSE)</f>
        <v>#REF!</v>
      </c>
      <c r="CA49" s="16" t="e">
        <f>IF(AND($BX46=$BX49,$BY46=$BY49,$BZ49&gt;$BZ46),$BW46,$BW49)</f>
        <v>#REF!</v>
      </c>
      <c r="CB49" s="16" t="e">
        <f>VLOOKUP($CA49,$AS46:$BA49,9,FALSE)</f>
        <v>#REF!</v>
      </c>
      <c r="CC49" s="16" t="e">
        <f>VLOOKUP($CA49,$AS46:$BA49,8,FALSE)</f>
        <v>#REF!</v>
      </c>
      <c r="CD49" s="16" t="e">
        <f>VLOOKUP($CA49,$AS46:$BA49,6,FALSE)</f>
        <v>#REF!</v>
      </c>
      <c r="CH49" s="16" t="e">
        <f>CA49</f>
        <v>#REF!</v>
      </c>
      <c r="CI49" s="16" t="e">
        <f>VLOOKUP($CH49,$AS46:$BA49,2,FALSE)</f>
        <v>#REF!</v>
      </c>
      <c r="CJ49" s="16" t="e">
        <f>VLOOKUP($CH49,$AS46:$BA49,3,FALSE)</f>
        <v>#REF!</v>
      </c>
      <c r="CK49" s="16" t="e">
        <f>VLOOKUP($CH49,$AS46:$BA49,4,FALSE)</f>
        <v>#REF!</v>
      </c>
      <c r="CL49" s="16" t="e">
        <f>VLOOKUP($CH49,$AS46:$BA49,5,FALSE)</f>
        <v>#REF!</v>
      </c>
      <c r="CM49" s="16" t="e">
        <f>VLOOKUP($CH49,$AS46:$BA49,6,FALSE)</f>
        <v>#REF!</v>
      </c>
      <c r="CN49" s="16" t="e">
        <f>VLOOKUP($CH49,$AS46:$BA49,7,FALSE)</f>
        <v>#REF!</v>
      </c>
      <c r="CO49" s="16" t="e">
        <f>VLOOKUP($CH49,$AS46:$BA49,8,FALSE)</f>
        <v>#REF!</v>
      </c>
      <c r="CP49" s="16" t="e">
        <f>VLOOKUP($CH49,$AS46:$BA49,9,FALSE)</f>
        <v>#REF!</v>
      </c>
      <c r="CR49" s="21" t="e">
        <f>#REF!</f>
        <v>#REF!</v>
      </c>
    </row>
    <row r="50" spans="1:96" ht="12.95" customHeight="1" thickBot="1" x14ac:dyDescent="0.25">
      <c r="B50" s="24"/>
      <c r="C50" s="24"/>
      <c r="D50" s="24"/>
      <c r="E50" s="24"/>
      <c r="F50" s="24"/>
      <c r="G50" s="338"/>
      <c r="H50" s="338"/>
      <c r="I50" s="338"/>
      <c r="J50" s="522"/>
      <c r="K50" s="522"/>
      <c r="L50" s="522"/>
      <c r="M50" s="522"/>
      <c r="N50" s="522"/>
      <c r="O50" s="338"/>
      <c r="P50" s="338"/>
      <c r="X50" s="338"/>
      <c r="Y50" s="338"/>
      <c r="Z50" s="338"/>
      <c r="AA50" s="522"/>
      <c r="AB50" s="522"/>
      <c r="AC50" s="522"/>
      <c r="AD50" s="522"/>
      <c r="AE50" s="522"/>
      <c r="AF50" s="338"/>
      <c r="AG50" s="338"/>
      <c r="AH50" s="69" t="s">
        <v>176</v>
      </c>
      <c r="AI50" s="70" t="s">
        <v>175</v>
      </c>
      <c r="AJ50" s="70">
        <f>I61</f>
        <v>0</v>
      </c>
      <c r="AK50" s="232">
        <f>K61</f>
        <v>0</v>
      </c>
      <c r="AL50" s="73" t="s">
        <v>165</v>
      </c>
      <c r="AM50" s="50" t="s">
        <v>164</v>
      </c>
      <c r="AN50" s="44" t="s">
        <v>111</v>
      </c>
      <c r="AO50" s="45" t="str">
        <f t="shared" si="4"/>
        <v>Draw</v>
      </c>
      <c r="AP50" s="45" t="str">
        <f t="shared" si="5"/>
        <v>Draw</v>
      </c>
      <c r="AQ50" s="45"/>
      <c r="CR50" s="21" t="e">
        <f>#REF!</f>
        <v>#REF!</v>
      </c>
    </row>
    <row r="51" spans="1:96" ht="12.95" customHeight="1" thickBot="1" x14ac:dyDescent="0.25">
      <c r="A51" s="522"/>
      <c r="B51" s="522"/>
      <c r="C51" s="46"/>
      <c r="D51" s="24"/>
      <c r="E51" s="24"/>
      <c r="F51" s="24"/>
      <c r="G51" s="345"/>
      <c r="H51" s="345"/>
      <c r="I51" s="283"/>
      <c r="J51" s="547"/>
      <c r="K51" s="547"/>
      <c r="L51" s="152"/>
      <c r="M51" s="283"/>
      <c r="N51" s="153"/>
      <c r="O51" s="345"/>
      <c r="P51" s="283"/>
      <c r="R51" s="522"/>
      <c r="S51" s="522"/>
      <c r="T51" s="46"/>
      <c r="X51" s="345"/>
      <c r="Y51" s="345"/>
      <c r="Z51" s="283"/>
      <c r="AA51" s="547"/>
      <c r="AB51" s="547"/>
      <c r="AC51" s="152"/>
      <c r="AD51" s="283"/>
      <c r="AE51" s="153"/>
      <c r="AF51" s="345"/>
      <c r="AG51" s="283"/>
      <c r="AH51" s="70" t="s">
        <v>167</v>
      </c>
      <c r="AI51" s="70" t="s">
        <v>166</v>
      </c>
      <c r="AJ51" s="70">
        <f>I62</f>
        <v>0</v>
      </c>
      <c r="AK51" s="232">
        <f>K62</f>
        <v>0</v>
      </c>
      <c r="AL51" s="73" t="s">
        <v>174</v>
      </c>
      <c r="AM51" s="51" t="s">
        <v>173</v>
      </c>
      <c r="AN51" s="44" t="s">
        <v>111</v>
      </c>
      <c r="AO51" s="45" t="str">
        <f t="shared" si="4"/>
        <v>Draw</v>
      </c>
      <c r="AP51" s="45" t="str">
        <f t="shared" si="5"/>
        <v>Draw</v>
      </c>
      <c r="AQ51" s="45"/>
      <c r="AS51" s="16" t="s">
        <v>208</v>
      </c>
      <c r="CR51" s="21" t="e">
        <f>#REF!</f>
        <v>#REF!</v>
      </c>
    </row>
    <row r="52" spans="1:96" ht="12.95" customHeight="1" thickBot="1" x14ac:dyDescent="0.25">
      <c r="A52" s="522"/>
      <c r="B52" s="522"/>
      <c r="C52" s="46"/>
      <c r="D52" s="24"/>
      <c r="E52" s="24"/>
      <c r="F52" s="24"/>
      <c r="G52" s="345"/>
      <c r="H52" s="345"/>
      <c r="I52" s="283"/>
      <c r="J52" s="547"/>
      <c r="K52" s="547"/>
      <c r="L52" s="152"/>
      <c r="M52" s="283"/>
      <c r="N52" s="153"/>
      <c r="O52" s="345"/>
      <c r="P52" s="283"/>
      <c r="R52" s="522"/>
      <c r="S52" s="522"/>
      <c r="T52" s="46"/>
      <c r="X52" s="345"/>
      <c r="Y52" s="345"/>
      <c r="Z52" s="283"/>
      <c r="AA52" s="547"/>
      <c r="AB52" s="547"/>
      <c r="AC52" s="152"/>
      <c r="AD52" s="283"/>
      <c r="AE52" s="153"/>
      <c r="AF52" s="345"/>
      <c r="AG52" s="283"/>
      <c r="AH52" s="70" t="s">
        <v>184</v>
      </c>
      <c r="AI52" s="70" t="s">
        <v>183</v>
      </c>
      <c r="AJ52" s="70">
        <f>Z61</f>
        <v>0</v>
      </c>
      <c r="AK52" s="232">
        <f>AB61</f>
        <v>0</v>
      </c>
      <c r="AL52" s="73" t="s">
        <v>194</v>
      </c>
      <c r="AM52" s="51" t="s">
        <v>193</v>
      </c>
      <c r="AN52" s="44" t="s">
        <v>185</v>
      </c>
      <c r="AO52" s="45" t="str">
        <f t="shared" si="4"/>
        <v>Draw</v>
      </c>
      <c r="AP52" s="45" t="str">
        <f t="shared" si="5"/>
        <v>Draw</v>
      </c>
      <c r="AQ52" s="45"/>
      <c r="AT52" s="16" t="s">
        <v>124</v>
      </c>
      <c r="AU52" s="16" t="s">
        <v>110</v>
      </c>
      <c r="AV52" s="16" t="s">
        <v>125</v>
      </c>
      <c r="AW52" s="16" t="s">
        <v>126</v>
      </c>
      <c r="AX52" s="16" t="s">
        <v>127</v>
      </c>
      <c r="AY52" s="16" t="s">
        <v>123</v>
      </c>
      <c r="AZ52" s="16" t="s">
        <v>128</v>
      </c>
      <c r="BA52" s="16" t="s">
        <v>129</v>
      </c>
      <c r="CR52" s="21" t="e">
        <f>#REF!</f>
        <v>#REF!</v>
      </c>
    </row>
    <row r="53" spans="1:96" ht="12.95" customHeight="1" thickBot="1" x14ac:dyDescent="0.25">
      <c r="A53" s="522"/>
      <c r="B53" s="522"/>
      <c r="C53" s="46"/>
      <c r="D53" s="24"/>
      <c r="E53" s="24"/>
      <c r="F53" s="24"/>
      <c r="G53" s="345"/>
      <c r="H53" s="345"/>
      <c r="I53" s="283"/>
      <c r="J53" s="547"/>
      <c r="K53" s="547"/>
      <c r="L53" s="152"/>
      <c r="M53" s="283"/>
      <c r="N53" s="153"/>
      <c r="O53" s="345"/>
      <c r="P53" s="283"/>
      <c r="R53" s="522"/>
      <c r="S53" s="522"/>
      <c r="T53" s="46"/>
      <c r="X53" s="345"/>
      <c r="Y53" s="345"/>
      <c r="Z53" s="283"/>
      <c r="AA53" s="547"/>
      <c r="AB53" s="547"/>
      <c r="AC53" s="152"/>
      <c r="AD53" s="283"/>
      <c r="AE53" s="153"/>
      <c r="AF53" s="345"/>
      <c r="AG53" s="283"/>
      <c r="AH53" s="70" t="s">
        <v>196</v>
      </c>
      <c r="AI53" s="70" t="s">
        <v>195</v>
      </c>
      <c r="AJ53" s="70">
        <f>Z62</f>
        <v>0</v>
      </c>
      <c r="AK53" s="232">
        <f>AB62</f>
        <v>0</v>
      </c>
      <c r="AL53" s="73" t="s">
        <v>182</v>
      </c>
      <c r="AM53" s="51" t="s">
        <v>181</v>
      </c>
      <c r="AN53" s="44" t="s">
        <v>185</v>
      </c>
      <c r="AO53" s="45" t="str">
        <f t="shared" si="4"/>
        <v>Draw</v>
      </c>
      <c r="AP53" s="45" t="str">
        <f t="shared" si="5"/>
        <v>Draw</v>
      </c>
      <c r="AQ53" s="45"/>
      <c r="AS53" s="16" t="str">
        <f>EINDRONDE!V8</f>
        <v>5e Beste nrs. 3</v>
      </c>
      <c r="AT53" s="16">
        <f>COUNT(Italy_Played)</f>
        <v>3</v>
      </c>
      <c r="AU53" s="16">
        <f>COUNTIF(Groupstage_Winners,"Italy")</f>
        <v>0</v>
      </c>
      <c r="AV53" s="16">
        <f>COUNTIF(Groupstage_Losers,"Italy")</f>
        <v>0</v>
      </c>
      <c r="AW53" s="16">
        <f>AT53-(AU53+AV53)</f>
        <v>3</v>
      </c>
      <c r="AX53" s="16">
        <f>SUM(Italy_Played)</f>
        <v>0</v>
      </c>
      <c r="AY53" s="16">
        <f>SUM(Italy_Against)</f>
        <v>0</v>
      </c>
      <c r="AZ53" s="16">
        <f>AX53-AY53</f>
        <v>0</v>
      </c>
      <c r="BA53" s="16">
        <f>SUM((AU53*3)+(AW53*1))</f>
        <v>3</v>
      </c>
      <c r="BB53" s="16" t="str">
        <f>IF($BA53&gt;=$BA54,$AS53,$AS54)</f>
        <v>5e Beste nrs. 3</v>
      </c>
      <c r="BC53" s="16">
        <f>VLOOKUP($BB53,$AS53:$BA56,9,FALSE)</f>
        <v>3</v>
      </c>
      <c r="BD53" s="16" t="str">
        <f>IF($BC53&gt;=$BC55,$BB53,$BB55)</f>
        <v>5e Beste nrs. 3</v>
      </c>
      <c r="BE53" s="16">
        <f>VLOOKUP($BD53,$AS53:$BA56,9,FALSE)</f>
        <v>3</v>
      </c>
      <c r="BF53" s="16" t="str">
        <f>IF($BE53&gt;=$BE56,$BD53,$BD56)</f>
        <v>5e Beste nrs. 3</v>
      </c>
      <c r="BG53" s="16">
        <f>VLOOKUP($BF53,$AS53:$BA56,9,FALSE)</f>
        <v>3</v>
      </c>
      <c r="BH53" s="16">
        <f>VLOOKUP($BF53,$AS53:$BA56,8,FALSE)</f>
        <v>0</v>
      </c>
      <c r="BI53" s="16" t="str">
        <f>IF(AND($BG53=$BG54,$BH54&gt;$BH53),$BF54,$BF53)</f>
        <v>5e Beste nrs. 3</v>
      </c>
      <c r="BJ53" s="16">
        <f>VLOOKUP($BI53,$AS53:$BA56,9,FALSE)</f>
        <v>3</v>
      </c>
      <c r="BK53" s="16">
        <f>VLOOKUP($BI53,$AS53:$BA56,8,FALSE)</f>
        <v>0</v>
      </c>
      <c r="BL53" s="16" t="str">
        <f>IF(AND($BJ53=$BJ55,$BK55&gt;$BK53),$BI55,$BI53)</f>
        <v>5e Beste nrs. 3</v>
      </c>
      <c r="BM53" s="16">
        <f>VLOOKUP($BL53,$AS53:$BA56,9,FALSE)</f>
        <v>3</v>
      </c>
      <c r="BN53" s="16">
        <f>VLOOKUP($BL53,$AS53:$BA56,8,FALSE)</f>
        <v>0</v>
      </c>
      <c r="BO53" s="16" t="str">
        <f>IF(AND($BM53=$BM56,$BN56&gt;$BN53),$BL56,$BL53)</f>
        <v>5e Beste nrs. 3</v>
      </c>
      <c r="BP53" s="16">
        <f>VLOOKUP($BO53,$AS53:$BA56,9,FALSE)</f>
        <v>3</v>
      </c>
      <c r="BQ53" s="16">
        <f>VLOOKUP($BO53,$AS53:$BA56,8,FALSE)</f>
        <v>0</v>
      </c>
      <c r="BR53" s="16">
        <f>VLOOKUP($BO53,$AS53:$BA56,6,FALSE)</f>
        <v>0</v>
      </c>
      <c r="BS53" s="16" t="str">
        <f>IF(AND($BP53=$BP54,$BQ53=$BQ54,$BR54&gt;$BR53),$BO54,$BO53)</f>
        <v>5e Beste nrs. 3</v>
      </c>
      <c r="BT53" s="16">
        <f>VLOOKUP($BS53,$AS53:$BA56,9,FALSE)</f>
        <v>3</v>
      </c>
      <c r="BU53" s="16">
        <f>VLOOKUP($BS53,$AS53:$BA56,8,FALSE)</f>
        <v>0</v>
      </c>
      <c r="BV53" s="16">
        <f>VLOOKUP($BS53,$AS53:$BA56,6,FALSE)</f>
        <v>0</v>
      </c>
      <c r="BW53" s="16" t="str">
        <f>IF(AND($BT53=$BT55,$BU53=$BU55,$BV55&gt;$BV53),$BS55,$BS53)</f>
        <v>5e Beste nrs. 3</v>
      </c>
      <c r="BX53" s="16">
        <f>VLOOKUP($BW53,$AS53:$BA56,9,FALSE)</f>
        <v>3</v>
      </c>
      <c r="BY53" s="16">
        <f>VLOOKUP($BW53,$AS53:$BA56,8,FALSE)</f>
        <v>0</v>
      </c>
      <c r="BZ53" s="16">
        <f>VLOOKUP($BW53,$AS53:$BA56,6,FALSE)</f>
        <v>0</v>
      </c>
      <c r="CA53" s="16" t="str">
        <f>IF(AND($BX53=$BX56,$BY53=$BY56,$BZ56&gt;$BZ53),$BW56,$BW53)</f>
        <v>5e Beste nrs. 3</v>
      </c>
      <c r="CB53" s="16">
        <f>VLOOKUP($CA53,$AS53:$BA56,9,FALSE)</f>
        <v>3</v>
      </c>
      <c r="CC53" s="16">
        <f>VLOOKUP($CA53,$AS53:$BA56,8,FALSE)</f>
        <v>0</v>
      </c>
      <c r="CD53" s="16">
        <f>VLOOKUP($CA53,$AS53:$BA56,6,FALSE)</f>
        <v>0</v>
      </c>
      <c r="CH53" s="16" t="str">
        <f>CA53</f>
        <v>5e Beste nrs. 3</v>
      </c>
      <c r="CI53" s="16">
        <f>VLOOKUP($CH53,$AS53:$BA56,2,FALSE)</f>
        <v>3</v>
      </c>
      <c r="CJ53" s="16">
        <f>VLOOKUP($CH53,$AS53:$BA56,3,FALSE)</f>
        <v>0</v>
      </c>
      <c r="CK53" s="16">
        <f>VLOOKUP($CH53,$AS53:$BA56,4,FALSE)</f>
        <v>0</v>
      </c>
      <c r="CL53" s="16">
        <f>VLOOKUP($CH53,$AS53:$BA56,5,FALSE)</f>
        <v>3</v>
      </c>
      <c r="CM53" s="16">
        <f>VLOOKUP($CH53,$AS53:$BA56,6,FALSE)</f>
        <v>0</v>
      </c>
      <c r="CN53" s="16">
        <f>VLOOKUP($CH53,$AS53:$BA56,7,FALSE)</f>
        <v>0</v>
      </c>
      <c r="CO53" s="16">
        <f>VLOOKUP($CH53,$AS53:$BA56,8,FALSE)</f>
        <v>0</v>
      </c>
      <c r="CP53" s="16">
        <f>VLOOKUP($CH53,$AS53:$BA56,9,FALSE)</f>
        <v>3</v>
      </c>
      <c r="CR53" s="21" t="e">
        <f>#REF!</f>
        <v>#REF!</v>
      </c>
    </row>
    <row r="54" spans="1:96" ht="12.95" customHeight="1" thickBot="1" x14ac:dyDescent="0.25">
      <c r="A54" s="522"/>
      <c r="B54" s="522"/>
      <c r="C54" s="46"/>
      <c r="D54" s="24"/>
      <c r="E54" s="24"/>
      <c r="F54" s="24"/>
      <c r="G54" s="345"/>
      <c r="H54" s="345"/>
      <c r="I54" s="283"/>
      <c r="J54" s="547"/>
      <c r="K54" s="547"/>
      <c r="L54" s="152"/>
      <c r="M54" s="283"/>
      <c r="N54" s="153"/>
      <c r="O54" s="345"/>
      <c r="P54" s="283"/>
      <c r="R54" s="522"/>
      <c r="S54" s="522"/>
      <c r="T54" s="46"/>
      <c r="X54" s="345"/>
      <c r="Y54" s="345"/>
      <c r="Z54" s="283"/>
      <c r="AA54" s="547"/>
      <c r="AB54" s="547"/>
      <c r="AC54" s="152"/>
      <c r="AD54" s="283"/>
      <c r="AE54" s="153"/>
      <c r="AF54" s="345"/>
      <c r="AG54" s="283"/>
      <c r="AH54" s="70" t="s">
        <v>190</v>
      </c>
      <c r="AI54" s="70" t="s">
        <v>189</v>
      </c>
      <c r="AJ54" s="70" t="e">
        <f>Z30</f>
        <v>#REF!</v>
      </c>
      <c r="AK54" s="232" t="e">
        <f>AB30</f>
        <v>#REF!</v>
      </c>
      <c r="AL54" s="73" t="s">
        <v>199</v>
      </c>
      <c r="AM54" s="51" t="s">
        <v>198</v>
      </c>
      <c r="AN54" s="44" t="s">
        <v>126</v>
      </c>
      <c r="AO54" s="45" t="e">
        <f t="shared" si="4"/>
        <v>#REF!</v>
      </c>
      <c r="AP54" s="45" t="e">
        <f t="shared" si="5"/>
        <v>#REF!</v>
      </c>
      <c r="AQ54" s="45"/>
      <c r="AS54" s="16" t="str">
        <f>EINDRONDE!V9</f>
        <v>4e Poule A</v>
      </c>
      <c r="AT54" s="16">
        <f>COUNT(Ecuador_Played)</f>
        <v>3</v>
      </c>
      <c r="AU54" s="16">
        <f>COUNTIF(Groupstage_Winners,"Ecuador")</f>
        <v>0</v>
      </c>
      <c r="AV54" s="16">
        <f>COUNTIF(Groupstage_Losers,"Ecuador")</f>
        <v>0</v>
      </c>
      <c r="AW54" s="16">
        <f>AT54-(AU54+AV54)</f>
        <v>3</v>
      </c>
      <c r="AX54" s="16">
        <f>SUM(Ecuador_Played)</f>
        <v>0</v>
      </c>
      <c r="AY54" s="16">
        <f>SUM(Ecuador_Against)</f>
        <v>0</v>
      </c>
      <c r="AZ54" s="16">
        <f>AX54-AY54</f>
        <v>0</v>
      </c>
      <c r="BA54" s="16">
        <f t="shared" ref="BA54:BA56" si="20">SUM((AU54*3)+(AW54*1))</f>
        <v>3</v>
      </c>
      <c r="BB54" s="16" t="str">
        <f>IF($BA54&lt;=$BA53,$AS54,$AS53)</f>
        <v>4e Poule A</v>
      </c>
      <c r="BC54" s="16">
        <f>VLOOKUP($BB54,$AS53:$BA56,9,FALSE)</f>
        <v>3</v>
      </c>
      <c r="BD54" s="16" t="str">
        <f>IF(BC54&gt;=BC56,BB54,BB56)</f>
        <v>4e Poule A</v>
      </c>
      <c r="BE54" s="16">
        <f>VLOOKUP($BD54,$AS53:$BA56,9,FALSE)</f>
        <v>3</v>
      </c>
      <c r="BF54" s="16" t="str">
        <f>IF($BE54&gt;=$BE55,$BD54,$BD55)</f>
        <v>4e Poule A</v>
      </c>
      <c r="BG54" s="16">
        <f>VLOOKUP($BF54,$AS53:$BA56,9,FALSE)</f>
        <v>3</v>
      </c>
      <c r="BH54" s="16">
        <f>VLOOKUP($BF54,$AS53:$BA56,8,FALSE)</f>
        <v>0</v>
      </c>
      <c r="BI54" s="16" t="str">
        <f>IF(AND($BG53=$BG54,$BH54&gt;$BH53),$BF53,$BF54)</f>
        <v>4e Poule A</v>
      </c>
      <c r="BJ54" s="16">
        <f>VLOOKUP($BI54,$AS53:$BA56,9,FALSE)</f>
        <v>3</v>
      </c>
      <c r="BK54" s="16">
        <f>VLOOKUP($BI54,$AS53:$BA56,8,FALSE)</f>
        <v>0</v>
      </c>
      <c r="BL54" s="16" t="str">
        <f>IF(AND($BJ54=$BJ56,$BK56&gt;$BK54),$BI56,$BI54)</f>
        <v>4e Poule A</v>
      </c>
      <c r="BM54" s="16">
        <f>VLOOKUP($BL54,$AS53:$BA56,9,FALSE)</f>
        <v>3</v>
      </c>
      <c r="BN54" s="16">
        <f>VLOOKUP($BL54,$AS53:$BA56,8,FALSE)</f>
        <v>0</v>
      </c>
      <c r="BO54" s="16" t="str">
        <f>IF(AND($BM54=$BM55,$BN55&gt;$BN54),$BL55,$BL54)</f>
        <v>4e Poule A</v>
      </c>
      <c r="BP54" s="16">
        <f>VLOOKUP($BO54,$AS53:$BA56,9,FALSE)</f>
        <v>3</v>
      </c>
      <c r="BQ54" s="16">
        <f>VLOOKUP($BO54,$AS53:$BA56,8,FALSE)</f>
        <v>0</v>
      </c>
      <c r="BR54" s="16">
        <f>VLOOKUP($BO54,$AS53:$BA56,6,FALSE)</f>
        <v>0</v>
      </c>
      <c r="BS54" s="16" t="str">
        <f>IF(AND($BP53=$BP54,$BQ53=$BQ54,$BR54&gt;$BR53),$BO53,$BO54)</f>
        <v>4e Poule A</v>
      </c>
      <c r="BT54" s="16">
        <f>VLOOKUP($BS54,$AS53:$BA56,9,FALSE)</f>
        <v>3</v>
      </c>
      <c r="BU54" s="16">
        <f>VLOOKUP($BS54,$AS53:$BA56,8,FALSE)</f>
        <v>0</v>
      </c>
      <c r="BV54" s="16">
        <f>VLOOKUP($BS54,$AS53:$BA56,6,FALSE)</f>
        <v>0</v>
      </c>
      <c r="BW54" s="16" t="str">
        <f>IF(AND($BT54=$BT56,$BU54=$BU56,$BV56&gt;$BV54),$BS56,$BS54)</f>
        <v>4e Poule A</v>
      </c>
      <c r="BX54" s="16">
        <f>VLOOKUP($BW54,$AS53:$BA56,9,FALSE)</f>
        <v>3</v>
      </c>
      <c r="BY54" s="16">
        <f>VLOOKUP($BW54,$AS53:$BA56,8,FALSE)</f>
        <v>0</v>
      </c>
      <c r="BZ54" s="16">
        <f>VLOOKUP($BW54,$AS53:$BA56,6,FALSE)</f>
        <v>0</v>
      </c>
      <c r="CA54" s="16" t="str">
        <f>IF(AND($BX54=$BX55,$BY54=$BY55,$BZ55&gt;$BZ54),$BW55,$BW54)</f>
        <v>4e Poule A</v>
      </c>
      <c r="CB54" s="16">
        <f>VLOOKUP($CA54,$AS53:$BA56,9,FALSE)</f>
        <v>3</v>
      </c>
      <c r="CC54" s="16">
        <f>VLOOKUP($CA54,$AS53:$BA56,8,FALSE)</f>
        <v>0</v>
      </c>
      <c r="CD54" s="16">
        <f>VLOOKUP($CA54,$AS53:$BA56,6,FALSE)</f>
        <v>0</v>
      </c>
      <c r="CH54" s="16" t="str">
        <f>CA54</f>
        <v>4e Poule A</v>
      </c>
      <c r="CI54" s="16">
        <f>VLOOKUP($CH54,$AS53:$BA56,2,FALSE)</f>
        <v>3</v>
      </c>
      <c r="CJ54" s="16">
        <f>VLOOKUP($CH54,$AS53:$BA56,3,FALSE)</f>
        <v>0</v>
      </c>
      <c r="CK54" s="16">
        <f>VLOOKUP($CH54,$AS53:$BA56,4,FALSE)</f>
        <v>0</v>
      </c>
      <c r="CL54" s="16">
        <f>VLOOKUP($CH54,$AS53:$BA56,5,FALSE)</f>
        <v>3</v>
      </c>
      <c r="CM54" s="16">
        <f>VLOOKUP($CH54,$AS53:$BA56,6,FALSE)</f>
        <v>0</v>
      </c>
      <c r="CN54" s="16">
        <f>VLOOKUP($CH54,$AS53:$BA56,7,FALSE)</f>
        <v>0</v>
      </c>
      <c r="CO54" s="16">
        <f>VLOOKUP($CH54,$AS53:$BA56,8,FALSE)</f>
        <v>0</v>
      </c>
      <c r="CP54" s="16">
        <f>VLOOKUP($CH54,$AS53:$BA56,9,FALSE)</f>
        <v>3</v>
      </c>
      <c r="CR54" s="21" t="e">
        <f>#REF!</f>
        <v>#REF!</v>
      </c>
    </row>
    <row r="55" spans="1:96" ht="7.5" customHeight="1" thickBot="1" x14ac:dyDescent="0.25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AH55" s="69" t="s">
        <v>201</v>
      </c>
      <c r="AI55" s="70" t="s">
        <v>200</v>
      </c>
      <c r="AJ55" s="70" t="e">
        <f>Z31</f>
        <v>#REF!</v>
      </c>
      <c r="AK55" s="232" t="e">
        <f>AB31</f>
        <v>#REF!</v>
      </c>
      <c r="AL55" s="73" t="s">
        <v>188</v>
      </c>
      <c r="AM55" s="50" t="s">
        <v>187</v>
      </c>
      <c r="AN55" s="44" t="s">
        <v>126</v>
      </c>
      <c r="AO55" s="45" t="e">
        <f t="shared" si="4"/>
        <v>#REF!</v>
      </c>
      <c r="AP55" s="45" t="e">
        <f t="shared" si="5"/>
        <v>#REF!</v>
      </c>
      <c r="AQ55" s="45"/>
      <c r="AS55" s="16" t="str">
        <f>EINDRONDE!V10</f>
        <v>4e Poule B</v>
      </c>
      <c r="AT55" s="16">
        <f>COUNT(Croatia_Played)</f>
        <v>3</v>
      </c>
      <c r="AU55" s="16">
        <f>COUNTIF(Groupstage_Winners,"Croatia")</f>
        <v>0</v>
      </c>
      <c r="AV55" s="16">
        <f>COUNTIF(Groupstage_Losers,"Croatia")</f>
        <v>0</v>
      </c>
      <c r="AW55" s="16">
        <f>AT55-(AU55+AV55)</f>
        <v>3</v>
      </c>
      <c r="AX55" s="16">
        <f>SUM(Croatia_Played)</f>
        <v>0</v>
      </c>
      <c r="AY55" s="16">
        <f>SUM(Croatia_Against)</f>
        <v>0</v>
      </c>
      <c r="AZ55" s="16">
        <f>AX55-AY55</f>
        <v>0</v>
      </c>
      <c r="BA55" s="16">
        <f t="shared" si="20"/>
        <v>3</v>
      </c>
      <c r="BB55" s="16" t="str">
        <f>IF($BA55&gt;=$BA56,$AS55,$AS56)</f>
        <v>4e Poule B</v>
      </c>
      <c r="BC55" s="16">
        <f>VLOOKUP($BB55,$AS53:$BA56,9,FALSE)</f>
        <v>3</v>
      </c>
      <c r="BD55" s="16" t="str">
        <f>IF($BC55&lt;=$BC53,$BB55,$BB53)</f>
        <v>4e Poule B</v>
      </c>
      <c r="BE55" s="16">
        <f>VLOOKUP($BD55,$AS53:$BA56,9,FALSE)</f>
        <v>3</v>
      </c>
      <c r="BF55" s="16" t="str">
        <f>IF($BE55&lt;=$BE54,$BD55,$BD54)</f>
        <v>4e Poule B</v>
      </c>
      <c r="BG55" s="16">
        <f>VLOOKUP($BF55,$AS53:$BA56,9,FALSE)</f>
        <v>3</v>
      </c>
      <c r="BH55" s="16">
        <f>VLOOKUP($BF55,$AS53:$BA56,8,FALSE)</f>
        <v>0</v>
      </c>
      <c r="BI55" s="16" t="str">
        <f>IF(AND($BG55=$BG56,$BH56&gt;$BH55),$BF56,$BF55)</f>
        <v>4e Poule B</v>
      </c>
      <c r="BJ55" s="16">
        <f>VLOOKUP($BI55,$AS53:$BA56,9,FALSE)</f>
        <v>3</v>
      </c>
      <c r="BK55" s="16">
        <f>VLOOKUP($BI55,$AS53:$BA56,8,FALSE)</f>
        <v>0</v>
      </c>
      <c r="BL55" s="16" t="str">
        <f>IF(AND($BJ53=$BJ55,$BK55&gt;$BK53),$BI53,$BI55)</f>
        <v>4e Poule B</v>
      </c>
      <c r="BM55" s="16">
        <f>VLOOKUP($BL55,$AS53:$BA56,9,FALSE)</f>
        <v>3</v>
      </c>
      <c r="BN55" s="16">
        <f>VLOOKUP($BL55,$AS53:$BA56,8,FALSE)</f>
        <v>0</v>
      </c>
      <c r="BO55" s="16" t="str">
        <f>IF(AND($BM54=$BM55,$BN55&gt;$BN54),$BL54,$BL55)</f>
        <v>4e Poule B</v>
      </c>
      <c r="BP55" s="16">
        <f>VLOOKUP($BO55,$AS53:$BA56,9,FALSE)</f>
        <v>3</v>
      </c>
      <c r="BQ55" s="16">
        <f>VLOOKUP($BO55,$AS53:$BA56,8,FALSE)</f>
        <v>0</v>
      </c>
      <c r="BR55" s="16">
        <f>VLOOKUP($BO55,$AS53:$BA56,6,FALSE)</f>
        <v>0</v>
      </c>
      <c r="BS55" s="16" t="str">
        <f>IF(AND($BP55=$BP56,$BQ55=$BQ56,$BR56&gt;$BR55),$BO56,$BO55)</f>
        <v>4e Poule B</v>
      </c>
      <c r="BT55" s="16">
        <f>VLOOKUP($BS55,$AS53:$BA56,9,FALSE)</f>
        <v>3</v>
      </c>
      <c r="BU55" s="16">
        <f>VLOOKUP($BS55,$AS53:$BA56,8,FALSE)</f>
        <v>0</v>
      </c>
      <c r="BV55" s="16">
        <f>VLOOKUP($BS55,$AS53:$BA56,6,FALSE)</f>
        <v>0</v>
      </c>
      <c r="BW55" s="16" t="str">
        <f>IF(AND($BT53=$BT55,$BU53=$BU55,$BV54&gt;$BV53),$BS53,$BS55)</f>
        <v>4e Poule B</v>
      </c>
      <c r="BX55" s="16">
        <f>VLOOKUP($BW55,$AS53:$BA56,9,FALSE)</f>
        <v>3</v>
      </c>
      <c r="BY55" s="16">
        <f>VLOOKUP($BW55,$AS53:$BA56,8,FALSE)</f>
        <v>0</v>
      </c>
      <c r="BZ55" s="16">
        <f>VLOOKUP($BW55,$AS53:$BA56,6,FALSE)</f>
        <v>0</v>
      </c>
      <c r="CA55" s="16" t="str">
        <f>IF(AND($BX54=$BX55,$BY54=$BY55,$BZ55&gt;$BZ54),$BW54,$BW55)</f>
        <v>4e Poule B</v>
      </c>
      <c r="CB55" s="16">
        <f>VLOOKUP($CA55,$AS53:$BA56,9,FALSE)</f>
        <v>3</v>
      </c>
      <c r="CC55" s="16">
        <f>VLOOKUP($CA55,$AS53:$BA56,8,FALSE)</f>
        <v>0</v>
      </c>
      <c r="CD55" s="16">
        <f>VLOOKUP($CA55,$AS53:$BA56,6,FALSE)</f>
        <v>0</v>
      </c>
      <c r="CH55" s="16" t="str">
        <f>CA55</f>
        <v>4e Poule B</v>
      </c>
      <c r="CI55" s="16">
        <f>VLOOKUP($CH55,$AS53:$BA56,2,FALSE)</f>
        <v>3</v>
      </c>
      <c r="CJ55" s="16">
        <f>VLOOKUP($CH55,$AS53:$BA56,3,FALSE)</f>
        <v>0</v>
      </c>
      <c r="CK55" s="16">
        <f>VLOOKUP($CH55,$AS53:$BA56,4,FALSE)</f>
        <v>0</v>
      </c>
      <c r="CL55" s="16">
        <f>VLOOKUP($CH55,$AS53:$BA56,5,FALSE)</f>
        <v>3</v>
      </c>
      <c r="CM55" s="16">
        <f>VLOOKUP($CH55,$AS53:$BA56,6,FALSE)</f>
        <v>0</v>
      </c>
      <c r="CN55" s="16">
        <f>VLOOKUP($CH55,$AS53:$BA56,7,FALSE)</f>
        <v>0</v>
      </c>
      <c r="CO55" s="16">
        <f>VLOOKUP($CH55,$AS53:$BA56,8,FALSE)</f>
        <v>0</v>
      </c>
      <c r="CP55" s="16">
        <f>VLOOKUP($CH55,$AS53:$BA56,9,FALSE)</f>
        <v>3</v>
      </c>
      <c r="CR55" s="21" t="e">
        <f>#REF!</f>
        <v>#REF!</v>
      </c>
    </row>
    <row r="56" spans="1:96" ht="9.75" customHeight="1" x14ac:dyDescent="0.2">
      <c r="A56" s="347"/>
      <c r="B56" s="346"/>
      <c r="C56" s="346"/>
      <c r="D56" s="154"/>
      <c r="E56" s="154"/>
      <c r="F56" s="154"/>
      <c r="G56" s="154"/>
      <c r="H56" s="154"/>
      <c r="I56" s="549"/>
      <c r="J56" s="549"/>
      <c r="K56" s="549"/>
      <c r="L56" s="548"/>
      <c r="M56" s="548"/>
      <c r="N56" s="548"/>
      <c r="O56" s="548"/>
      <c r="P56" s="548"/>
      <c r="Q56" s="185"/>
      <c r="R56" s="347"/>
      <c r="S56" s="346"/>
      <c r="T56" s="346"/>
      <c r="U56" s="154"/>
      <c r="V56" s="154"/>
      <c r="W56" s="154"/>
      <c r="X56" s="154"/>
      <c r="Y56" s="154"/>
      <c r="Z56" s="549"/>
      <c r="AA56" s="549"/>
      <c r="AB56" s="549"/>
      <c r="AC56" s="548"/>
      <c r="AD56" s="548"/>
      <c r="AE56" s="548"/>
      <c r="AF56" s="548"/>
      <c r="AG56" s="548"/>
      <c r="AI56" s="77"/>
      <c r="AJ56" s="63"/>
      <c r="AK56" s="78"/>
      <c r="AL56" s="78"/>
      <c r="AM56" s="47"/>
      <c r="AN56" s="45"/>
      <c r="AO56" s="45"/>
      <c r="AP56" s="45"/>
      <c r="AQ56" s="45"/>
      <c r="AS56" s="16" t="str">
        <f>EINDRONDE!V11</f>
        <v>4e Poule C</v>
      </c>
      <c r="AT56" s="16">
        <f>COUNT(Mexico_Played)</f>
        <v>3</v>
      </c>
      <c r="AU56" s="16">
        <f>COUNTIF(Groupstage_Winners,"Mexico")</f>
        <v>0</v>
      </c>
      <c r="AV56" s="16">
        <f>COUNTIF(Groupstage_Losers,"Mexico")</f>
        <v>0</v>
      </c>
      <c r="AW56" s="16">
        <f>AT56-(AU56+AV56)</f>
        <v>3</v>
      </c>
      <c r="AX56" s="16">
        <f>SUM(Mexico_Played)</f>
        <v>0</v>
      </c>
      <c r="AY56" s="16">
        <f>SUM(Mexico_Against)</f>
        <v>0</v>
      </c>
      <c r="AZ56" s="16">
        <f>AX56-AY56</f>
        <v>0</v>
      </c>
      <c r="BA56" s="16">
        <f t="shared" si="20"/>
        <v>3</v>
      </c>
      <c r="BB56" s="16" t="str">
        <f>IF($BA56&lt;=$BA55,$AS56,$AS55)</f>
        <v>4e Poule C</v>
      </c>
      <c r="BC56" s="16">
        <f>VLOOKUP($BB56,$AS53:$BA56,9,FALSE)</f>
        <v>3</v>
      </c>
      <c r="BD56" s="16" t="str">
        <f>IF(BC56&lt;=BC54,BB56,BB54)</f>
        <v>4e Poule C</v>
      </c>
      <c r="BE56" s="16">
        <f>VLOOKUP($BD56,$AS53:$BA56,9,FALSE)</f>
        <v>3</v>
      </c>
      <c r="BF56" s="16" t="str">
        <f>IF($BE56&lt;=$BE53,$BD56,$BD53)</f>
        <v>4e Poule C</v>
      </c>
      <c r="BG56" s="16">
        <f>VLOOKUP($BF56,$AS53:$BA56,9,FALSE)</f>
        <v>3</v>
      </c>
      <c r="BH56" s="16">
        <f>VLOOKUP($BF56,$AS53:$BA56,8,FALSE)</f>
        <v>0</v>
      </c>
      <c r="BI56" s="16" t="str">
        <f>IF(AND($BG55=$BG56,$BH56&gt;$BH55),$BF55,$BF56)</f>
        <v>4e Poule C</v>
      </c>
      <c r="BJ56" s="16">
        <f>VLOOKUP($BI56,$AS53:$BA56,9,FALSE)</f>
        <v>3</v>
      </c>
      <c r="BK56" s="16">
        <f>VLOOKUP($BI56,$AS53:$BA56,8,FALSE)</f>
        <v>0</v>
      </c>
      <c r="BL56" s="16" t="str">
        <f>IF(AND($BJ54=$BJ56,$BK56&gt;$BK54),$BI54,$BI56)</f>
        <v>4e Poule C</v>
      </c>
      <c r="BM56" s="16">
        <f>VLOOKUP($BL56,$AS53:$BA56,9,FALSE)</f>
        <v>3</v>
      </c>
      <c r="BN56" s="16">
        <f>VLOOKUP($BL56,$AS53:$BA56,8,FALSE)</f>
        <v>0</v>
      </c>
      <c r="BO56" s="16" t="str">
        <f>IF(AND($BM53=$BM56,$BN56&gt;$BN53),$BL53,$BL56)</f>
        <v>4e Poule C</v>
      </c>
      <c r="BP56" s="16">
        <f>VLOOKUP($BO56,$AS53:$BA56,9,FALSE)</f>
        <v>3</v>
      </c>
      <c r="BQ56" s="16">
        <f>VLOOKUP($BO56,$AS53:$BA56,8,FALSE)</f>
        <v>0</v>
      </c>
      <c r="BR56" s="16">
        <f>VLOOKUP($BO56,$AS53:$BA56,6,FALSE)</f>
        <v>0</v>
      </c>
      <c r="BS56" s="16" t="str">
        <f>IF(AND($BP55=$BP56,$BQ55=$BQ56,$BR56&gt;$BR55),$BO55,$BO56)</f>
        <v>4e Poule C</v>
      </c>
      <c r="BT56" s="16">
        <f>VLOOKUP($BS56,$AS53:$BA56,9,FALSE)</f>
        <v>3</v>
      </c>
      <c r="BU56" s="16">
        <f>VLOOKUP($BS56,$AS53:$BA56,8,FALSE)</f>
        <v>0</v>
      </c>
      <c r="BV56" s="16">
        <f>VLOOKUP($BS56,$AS53:$BA56,6,FALSE)</f>
        <v>0</v>
      </c>
      <c r="BW56" s="16" t="str">
        <f>IF(AND($BT54=$BT56,$BU54=$BU56,$BV56&gt;$BV54),$BS54,$BS56)</f>
        <v>4e Poule C</v>
      </c>
      <c r="BX56" s="16">
        <f>VLOOKUP($BW56,$AS53:$BA56,9,FALSE)</f>
        <v>3</v>
      </c>
      <c r="BY56" s="16">
        <f>VLOOKUP($BW56,$AS53:$BA56,8,FALSE)</f>
        <v>0</v>
      </c>
      <c r="BZ56" s="16">
        <f>VLOOKUP($BW56,$AS53:$BA56,6,FALSE)</f>
        <v>0</v>
      </c>
      <c r="CA56" s="16" t="str">
        <f>IF(AND($BX53=$BX56,$BY53=$BY56,$BZ56&gt;$BZ53),$BW53,$BW56)</f>
        <v>4e Poule C</v>
      </c>
      <c r="CB56" s="16">
        <f>VLOOKUP($CA56,$AS53:$BA56,9,FALSE)</f>
        <v>3</v>
      </c>
      <c r="CC56" s="16">
        <f>VLOOKUP($CA56,$AS53:$BA56,8,FALSE)</f>
        <v>0</v>
      </c>
      <c r="CD56" s="16">
        <f>VLOOKUP($CA56,$AS53:$BA56,6,FALSE)</f>
        <v>0</v>
      </c>
      <c r="CH56" s="16" t="str">
        <f>CA56</f>
        <v>4e Poule C</v>
      </c>
      <c r="CI56" s="16">
        <f>VLOOKUP($CH56,$AS53:$BA56,2,FALSE)</f>
        <v>3</v>
      </c>
      <c r="CJ56" s="16">
        <f>VLOOKUP($CH56,$AS53:$BA56,3,FALSE)</f>
        <v>0</v>
      </c>
      <c r="CK56" s="16">
        <f>VLOOKUP($CH56,$AS53:$BA56,4,FALSE)</f>
        <v>0</v>
      </c>
      <c r="CL56" s="16">
        <f>VLOOKUP($CH56,$AS53:$BA56,5,FALSE)</f>
        <v>3</v>
      </c>
      <c r="CM56" s="16">
        <f>VLOOKUP($CH56,$AS53:$BA56,6,FALSE)</f>
        <v>0</v>
      </c>
      <c r="CN56" s="16">
        <f>VLOOKUP($CH56,$AS53:$BA56,7,FALSE)</f>
        <v>0</v>
      </c>
      <c r="CO56" s="16">
        <f>VLOOKUP($CH56,$AS53:$BA56,8,FALSE)</f>
        <v>0</v>
      </c>
      <c r="CP56" s="16">
        <f>VLOOKUP($CH56,$AS53:$BA56,9,FALSE)</f>
        <v>3</v>
      </c>
      <c r="CR56" s="21"/>
    </row>
    <row r="57" spans="1:96" ht="12.95" customHeight="1" x14ac:dyDescent="0.2">
      <c r="A57" s="540"/>
      <c r="B57" s="518"/>
      <c r="C57" s="283"/>
      <c r="D57" s="337"/>
      <c r="E57" s="283"/>
      <c r="F57" s="518"/>
      <c r="G57" s="518"/>
      <c r="H57" s="518"/>
      <c r="I57" s="27"/>
      <c r="J57" s="283"/>
      <c r="K57" s="129"/>
      <c r="L57" s="518"/>
      <c r="M57" s="518"/>
      <c r="N57" s="518"/>
      <c r="O57" s="518"/>
      <c r="P57" s="518"/>
      <c r="R57" s="540"/>
      <c r="S57" s="518"/>
      <c r="T57" s="283"/>
      <c r="U57" s="337"/>
      <c r="V57" s="283"/>
      <c r="W57" s="518"/>
      <c r="X57" s="518"/>
      <c r="Y57" s="518"/>
      <c r="Z57" s="27"/>
      <c r="AA57" s="283"/>
      <c r="AB57" s="129"/>
      <c r="AC57" s="518"/>
      <c r="AD57" s="518"/>
      <c r="AE57" s="518"/>
      <c r="AF57" s="518"/>
      <c r="AG57" s="518"/>
      <c r="AI57" s="77"/>
      <c r="AJ57" s="63"/>
      <c r="AK57" s="78"/>
      <c r="AL57" s="78"/>
      <c r="AM57" s="47"/>
      <c r="AN57" s="45"/>
      <c r="AO57" s="45"/>
      <c r="AP57" s="45"/>
      <c r="AQ57" s="45"/>
      <c r="CR57" s="21"/>
    </row>
    <row r="58" spans="1:96" ht="12.95" customHeight="1" x14ac:dyDescent="0.2">
      <c r="A58" s="540"/>
      <c r="B58" s="518"/>
      <c r="C58" s="283"/>
      <c r="D58" s="24"/>
      <c r="E58" s="283"/>
      <c r="F58" s="518"/>
      <c r="G58" s="518"/>
      <c r="H58" s="518"/>
      <c r="I58" s="27"/>
      <c r="J58" s="283"/>
      <c r="K58" s="129"/>
      <c r="L58" s="518"/>
      <c r="M58" s="518"/>
      <c r="N58" s="518"/>
      <c r="O58" s="518"/>
      <c r="P58" s="518"/>
      <c r="R58" s="540"/>
      <c r="S58" s="518"/>
      <c r="T58" s="283"/>
      <c r="V58" s="283"/>
      <c r="W58" s="518"/>
      <c r="X58" s="518"/>
      <c r="Y58" s="518"/>
      <c r="Z58" s="27"/>
      <c r="AA58" s="283"/>
      <c r="AB58" s="129"/>
      <c r="AC58" s="518"/>
      <c r="AD58" s="518"/>
      <c r="AE58" s="518"/>
      <c r="AF58" s="518"/>
      <c r="AG58" s="518"/>
      <c r="AI58" s="79"/>
      <c r="AJ58" s="80"/>
      <c r="AK58" s="79"/>
      <c r="AL58" s="79"/>
      <c r="AM58" s="47"/>
      <c r="AN58" s="42"/>
      <c r="AO58" s="41"/>
      <c r="AP58" s="41"/>
      <c r="AS58" s="16" t="s">
        <v>209</v>
      </c>
      <c r="CR58" s="21"/>
    </row>
    <row r="59" spans="1:96" ht="12.95" customHeight="1" x14ac:dyDescent="0.2">
      <c r="A59" s="540"/>
      <c r="B59" s="518"/>
      <c r="C59" s="283"/>
      <c r="D59" s="24"/>
      <c r="E59" s="283"/>
      <c r="F59" s="518"/>
      <c r="G59" s="518"/>
      <c r="H59" s="518"/>
      <c r="I59" s="27"/>
      <c r="J59" s="283"/>
      <c r="K59" s="129"/>
      <c r="L59" s="518"/>
      <c r="M59" s="518"/>
      <c r="N59" s="518"/>
      <c r="O59" s="518"/>
      <c r="P59" s="518"/>
      <c r="R59" s="540"/>
      <c r="S59" s="518"/>
      <c r="T59" s="283"/>
      <c r="V59" s="283"/>
      <c r="W59" s="518"/>
      <c r="X59" s="518"/>
      <c r="Y59" s="518"/>
      <c r="Z59" s="27"/>
      <c r="AA59" s="283"/>
      <c r="AB59" s="129"/>
      <c r="AC59" s="518"/>
      <c r="AD59" s="518"/>
      <c r="AE59" s="518"/>
      <c r="AF59" s="518"/>
      <c r="AG59" s="518"/>
      <c r="AI59" s="81"/>
      <c r="AJ59" s="80"/>
      <c r="AK59" s="81"/>
      <c r="AL59" s="81"/>
      <c r="AM59" s="47"/>
      <c r="AN59" s="43"/>
      <c r="AO59" s="41"/>
      <c r="AP59" s="41"/>
      <c r="AT59" s="16" t="s">
        <v>124</v>
      </c>
      <c r="AU59" s="16" t="s">
        <v>110</v>
      </c>
      <c r="AV59" s="16" t="s">
        <v>125</v>
      </c>
      <c r="AW59" s="16" t="s">
        <v>126</v>
      </c>
      <c r="AX59" s="16" t="s">
        <v>127</v>
      </c>
      <c r="AY59" s="16" t="s">
        <v>123</v>
      </c>
      <c r="AZ59" s="16" t="s">
        <v>128</v>
      </c>
      <c r="BA59" s="16" t="s">
        <v>129</v>
      </c>
      <c r="CR59" s="21"/>
    </row>
    <row r="60" spans="1:96" ht="12.95" customHeight="1" thickBot="1" x14ac:dyDescent="0.25">
      <c r="A60" s="540"/>
      <c r="B60" s="518"/>
      <c r="C60" s="283"/>
      <c r="D60" s="24"/>
      <c r="E60" s="283"/>
      <c r="F60" s="518"/>
      <c r="G60" s="518"/>
      <c r="H60" s="518"/>
      <c r="I60" s="27"/>
      <c r="J60" s="283"/>
      <c r="K60" s="129"/>
      <c r="L60" s="518"/>
      <c r="M60" s="518"/>
      <c r="N60" s="518"/>
      <c r="O60" s="518"/>
      <c r="P60" s="518"/>
      <c r="R60" s="540"/>
      <c r="S60" s="518"/>
      <c r="T60" s="283"/>
      <c r="V60" s="283"/>
      <c r="W60" s="518"/>
      <c r="X60" s="518"/>
      <c r="Y60" s="518"/>
      <c r="Z60" s="27"/>
      <c r="AA60" s="283"/>
      <c r="AB60" s="129"/>
      <c r="AC60" s="518"/>
      <c r="AD60" s="518"/>
      <c r="AE60" s="518"/>
      <c r="AF60" s="518"/>
      <c r="AG60" s="518"/>
      <c r="AI60" s="239"/>
      <c r="AJ60" s="240"/>
      <c r="AK60" s="82"/>
      <c r="AL60" s="82"/>
      <c r="AM60" s="47"/>
      <c r="AN60" s="41"/>
      <c r="AO60" s="41"/>
      <c r="AP60" s="41"/>
      <c r="AS60" s="16" t="str">
        <f>EINDRONDE!AB8</f>
        <v>8e Beste nrs. 3</v>
      </c>
      <c r="AT60" s="16">
        <f>COUNT(Japan_Played)</f>
        <v>3</v>
      </c>
      <c r="AU60" s="16">
        <f>COUNTIF(Groupstage_Winners,"Japan")</f>
        <v>0</v>
      </c>
      <c r="AV60" s="16">
        <f>COUNTIF(Groupstage_Losers,"Japan")</f>
        <v>0</v>
      </c>
      <c r="AW60" s="16">
        <f>AT60-(AU60+AV60)</f>
        <v>3</v>
      </c>
      <c r="AX60" s="16">
        <f>SUM(Japan_Played)</f>
        <v>0</v>
      </c>
      <c r="AY60" s="16">
        <f>SUM(Japan_Against)</f>
        <v>0</v>
      </c>
      <c r="AZ60" s="16">
        <f>AX60-AY60</f>
        <v>0</v>
      </c>
      <c r="BA60" s="16">
        <f>SUM((AU60*3)+(AW60*1))</f>
        <v>3</v>
      </c>
      <c r="BB60" s="16" t="str">
        <f>IF($BA60&gt;=$BA61,$AS60,$AS61)</f>
        <v>8e Beste nrs. 3</v>
      </c>
      <c r="BC60" s="16">
        <f>VLOOKUP($BB60,$AS60:$BA63,9,FALSE)</f>
        <v>3</v>
      </c>
      <c r="BD60" s="16" t="str">
        <f>IF($BC60&gt;=$BC62,$BB60,$BB62)</f>
        <v>8e Beste nrs. 3</v>
      </c>
      <c r="BE60" s="16">
        <f>VLOOKUP($BD60,$AS60:$BA63,9,FALSE)</f>
        <v>3</v>
      </c>
      <c r="BF60" s="16" t="str">
        <f>IF($BE60&gt;=$BE63,$BD60,$BD63)</f>
        <v>8e Beste nrs. 3</v>
      </c>
      <c r="BG60" s="16">
        <f>VLOOKUP($BF60,$AS60:$BA63,9,FALSE)</f>
        <v>3</v>
      </c>
      <c r="BH60" s="16">
        <f>VLOOKUP($BF60,$AS60:$BA63,8,FALSE)</f>
        <v>0</v>
      </c>
      <c r="BI60" s="16" t="str">
        <f>IF(AND($BG60=$BG61,$BH61&gt;$BH60),$BF61,$BF60)</f>
        <v>8e Beste nrs. 3</v>
      </c>
      <c r="BJ60" s="16">
        <f>VLOOKUP($BI60,$AS60:$BA63,9,FALSE)</f>
        <v>3</v>
      </c>
      <c r="BK60" s="16">
        <f>VLOOKUP($BI60,$AS60:$BA63,8,FALSE)</f>
        <v>0</v>
      </c>
      <c r="BL60" s="16" t="str">
        <f>IF(AND($BJ60=$BJ62,$BK62&gt;$BK60),$BI62,$BI60)</f>
        <v>8e Beste nrs. 3</v>
      </c>
      <c r="BM60" s="16">
        <f>VLOOKUP($BL60,$AS60:$BA63,9,FALSE)</f>
        <v>3</v>
      </c>
      <c r="BN60" s="16">
        <f>VLOOKUP($BL60,$AS60:$BA63,8,FALSE)</f>
        <v>0</v>
      </c>
      <c r="BO60" s="16" t="str">
        <f>IF(AND($BM60=$BM63,$BN63&gt;$BN60),$BL63,$BL60)</f>
        <v>8e Beste nrs. 3</v>
      </c>
      <c r="BP60" s="16">
        <f>VLOOKUP($BO60,$AS60:$BA63,9,FALSE)</f>
        <v>3</v>
      </c>
      <c r="BQ60" s="16">
        <f>VLOOKUP($BO60,$AS60:$BA63,8,FALSE)</f>
        <v>0</v>
      </c>
      <c r="BR60" s="16">
        <f>VLOOKUP($BO60,$AS60:$BA63,6,FALSE)</f>
        <v>0</v>
      </c>
      <c r="BS60" s="16" t="str">
        <f>IF(AND($BP60=$BP61,$BQ60=$BQ61,$BR61&gt;$BR60),$BO61,$BO60)</f>
        <v>8e Beste nrs. 3</v>
      </c>
      <c r="BT60" s="16">
        <f>VLOOKUP($BS60,$AS60:$BA63,9,FALSE)</f>
        <v>3</v>
      </c>
      <c r="BU60" s="16">
        <f>VLOOKUP($BS60,$AS60:$BA63,8,FALSE)</f>
        <v>0</v>
      </c>
      <c r="BV60" s="16">
        <f>VLOOKUP($BS60,$AS60:$BA63,6,FALSE)</f>
        <v>0</v>
      </c>
      <c r="BW60" s="16" t="str">
        <f>IF(AND($BT60=$BT62,$BU60=$BU62,$BV62&gt;$BV60),$BS62,$BS60)</f>
        <v>8e Beste nrs. 3</v>
      </c>
      <c r="BX60" s="16">
        <f>VLOOKUP($BW60,$AS60:$BA63,9,FALSE)</f>
        <v>3</v>
      </c>
      <c r="BY60" s="16">
        <f>VLOOKUP($BW60,$AS60:$BA63,8,FALSE)</f>
        <v>0</v>
      </c>
      <c r="BZ60" s="16">
        <f>VLOOKUP($BW60,$AS60:$BA63,6,FALSE)</f>
        <v>0</v>
      </c>
      <c r="CA60" s="16" t="str">
        <f>IF(AND($BX60=$BX63,$BY60=$BY63,$BZ63&gt;$BZ60),$BW63,$BW60)</f>
        <v>8e Beste nrs. 3</v>
      </c>
      <c r="CB60" s="16">
        <f>VLOOKUP($CA60,$AS60:$BA63,9,FALSE)</f>
        <v>3</v>
      </c>
      <c r="CC60" s="16">
        <f>VLOOKUP($CA60,$AS60:$BA63,8,FALSE)</f>
        <v>0</v>
      </c>
      <c r="CD60" s="16">
        <f>VLOOKUP($CA60,$AS60:$BA63,6,FALSE)</f>
        <v>0</v>
      </c>
      <c r="CH60" s="16" t="str">
        <f>CA60</f>
        <v>8e Beste nrs. 3</v>
      </c>
      <c r="CI60" s="16">
        <f>VLOOKUP($CH60,$AS60:$BA63,2,FALSE)</f>
        <v>3</v>
      </c>
      <c r="CJ60" s="16">
        <f>VLOOKUP($CH60,$AS60:$BA63,3,FALSE)</f>
        <v>0</v>
      </c>
      <c r="CK60" s="16">
        <f>VLOOKUP($CH60,$AS60:$BA63,4,FALSE)</f>
        <v>0</v>
      </c>
      <c r="CL60" s="16">
        <f>VLOOKUP($CH60,$AS60:$BA63,5,FALSE)</f>
        <v>3</v>
      </c>
      <c r="CM60" s="16">
        <f>VLOOKUP($CH60,$AS60:$BA63,6,FALSE)</f>
        <v>0</v>
      </c>
      <c r="CN60" s="16">
        <f>VLOOKUP($CH60,$AS60:$BA63,7,FALSE)</f>
        <v>0</v>
      </c>
      <c r="CO60" s="16">
        <f>VLOOKUP($CH60,$AS60:$BA63,8,FALSE)</f>
        <v>0</v>
      </c>
      <c r="CP60" s="16">
        <f>VLOOKUP($CH60,$AS60:$BA63,9,FALSE)</f>
        <v>3</v>
      </c>
      <c r="CR60" s="21"/>
    </row>
    <row r="61" spans="1:96" ht="12.95" customHeight="1" thickBot="1" x14ac:dyDescent="0.25">
      <c r="A61" s="540"/>
      <c r="B61" s="518"/>
      <c r="C61" s="283"/>
      <c r="D61" s="24"/>
      <c r="E61" s="283"/>
      <c r="F61" s="518"/>
      <c r="G61" s="518"/>
      <c r="H61" s="518"/>
      <c r="I61" s="27"/>
      <c r="J61" s="283"/>
      <c r="K61" s="129"/>
      <c r="L61" s="518"/>
      <c r="M61" s="518"/>
      <c r="N61" s="518"/>
      <c r="O61" s="518"/>
      <c r="P61" s="518"/>
      <c r="R61" s="540"/>
      <c r="S61" s="518"/>
      <c r="T61" s="283"/>
      <c r="V61" s="283"/>
      <c r="W61" s="518"/>
      <c r="X61" s="518"/>
      <c r="Y61" s="518"/>
      <c r="Z61" s="27"/>
      <c r="AA61" s="283"/>
      <c r="AB61" s="129"/>
      <c r="AC61" s="518"/>
      <c r="AD61" s="518"/>
      <c r="AE61" s="518"/>
      <c r="AF61" s="518"/>
      <c r="AG61" s="518"/>
      <c r="AI61" s="240" t="e">
        <f>IF(G36=3,C36,"Winner E")</f>
        <v>#REF!</v>
      </c>
      <c r="AJ61" s="240"/>
      <c r="AK61" s="236"/>
      <c r="AL61" s="82" t="e">
        <f>IF(X6=3,T6,"Runner-Up B")</f>
        <v>#REF!</v>
      </c>
      <c r="AM61" s="47"/>
      <c r="AN61" s="41"/>
      <c r="AO61" s="41" t="str">
        <f>IF(AJ61&lt;&gt;"",IF(AJ61&gt;AK61,AI61,IF(AK61&gt;AJ61,AL61,"Draw")),"Second Rd 1")</f>
        <v>Second Rd 1</v>
      </c>
      <c r="AP61" s="41"/>
      <c r="AS61" s="16" t="str">
        <f>EINDRONDE!AB9</f>
        <v>9e Beste nrs. 3</v>
      </c>
      <c r="AT61" s="16">
        <f>COUNT(Belgium_Played)</f>
        <v>3</v>
      </c>
      <c r="AU61" s="16">
        <f>COUNTIF(Groupstage_Winners,"Belgium")</f>
        <v>0</v>
      </c>
      <c r="AV61" s="16">
        <f>COUNTIF(Groupstage_Losers,"Belgium")</f>
        <v>0</v>
      </c>
      <c r="AW61" s="16">
        <f>AT61-(AU61+AV61)</f>
        <v>3</v>
      </c>
      <c r="AX61" s="16">
        <f>SUM(Belgium_Played)</f>
        <v>0</v>
      </c>
      <c r="AY61" s="16">
        <f>SUM(Belgium_Against)</f>
        <v>0</v>
      </c>
      <c r="AZ61" s="16">
        <f>AX61-AY61</f>
        <v>0</v>
      </c>
      <c r="BA61" s="16">
        <f t="shared" ref="BA61:BA63" si="21">SUM((AU61*3)+(AW61*1))</f>
        <v>3</v>
      </c>
      <c r="BB61" s="16" t="str">
        <f>IF($BA61&lt;=$BA60,$AS61,$AS60)</f>
        <v>9e Beste nrs. 3</v>
      </c>
      <c r="BC61" s="16">
        <f>VLOOKUP($BB61,$AS60:$BA63,9,FALSE)</f>
        <v>3</v>
      </c>
      <c r="BD61" s="16" t="str">
        <f>IF(BC61&gt;=BC63,BB61,BB63)</f>
        <v>9e Beste nrs. 3</v>
      </c>
      <c r="BE61" s="16">
        <f>VLOOKUP($BD61,$AS60:$BA63,9,FALSE)</f>
        <v>3</v>
      </c>
      <c r="BF61" s="16" t="str">
        <f>IF($BE61&gt;=$BE62,$BD61,$BD62)</f>
        <v>9e Beste nrs. 3</v>
      </c>
      <c r="BG61" s="16">
        <f>VLOOKUP($BF61,$AS60:$BA63,9,FALSE)</f>
        <v>3</v>
      </c>
      <c r="BH61" s="16">
        <f>VLOOKUP($BF61,$AS60:$BA63,8,FALSE)</f>
        <v>0</v>
      </c>
      <c r="BI61" s="16" t="str">
        <f>IF(AND($BG60=$BG61,$BH61&gt;$BH60),$BF60,$BF61)</f>
        <v>9e Beste nrs. 3</v>
      </c>
      <c r="BJ61" s="16">
        <f>VLOOKUP($BI61,$AS60:$BA63,9,FALSE)</f>
        <v>3</v>
      </c>
      <c r="BK61" s="16">
        <f>VLOOKUP($BI61,$AS60:$BA63,8,FALSE)</f>
        <v>0</v>
      </c>
      <c r="BL61" s="16" t="str">
        <f>IF(AND($BJ61=$BJ63,$BK63&gt;$BK61),$BI63,$BI61)</f>
        <v>9e Beste nrs. 3</v>
      </c>
      <c r="BM61" s="16">
        <f>VLOOKUP($BL61,$AS60:$BA63,9,FALSE)</f>
        <v>3</v>
      </c>
      <c r="BN61" s="16">
        <f>VLOOKUP($BL61,$AS60:$BA63,8,FALSE)</f>
        <v>0</v>
      </c>
      <c r="BO61" s="16" t="str">
        <f>IF(AND($BM61=$BM62,$BN62&gt;$BN61),$BL62,$BL61)</f>
        <v>9e Beste nrs. 3</v>
      </c>
      <c r="BP61" s="16">
        <f>VLOOKUP($BO61,$AS60:$BA63,9,FALSE)</f>
        <v>3</v>
      </c>
      <c r="BQ61" s="16">
        <f>VLOOKUP($BO61,$AS60:$BA63,8,FALSE)</f>
        <v>0</v>
      </c>
      <c r="BR61" s="16">
        <f>VLOOKUP($BO61,$AS60:$BA63,6,FALSE)</f>
        <v>0</v>
      </c>
      <c r="BS61" s="16" t="str">
        <f>IF(AND($BP60=$BP61,$BQ60=$BQ61,$BR61&gt;$BR60),$BO60,$BO61)</f>
        <v>9e Beste nrs. 3</v>
      </c>
      <c r="BT61" s="16">
        <f>VLOOKUP($BS61,$AS60:$BA63,9,FALSE)</f>
        <v>3</v>
      </c>
      <c r="BU61" s="16">
        <f>VLOOKUP($BS61,$AS60:$BA63,8,FALSE)</f>
        <v>0</v>
      </c>
      <c r="BV61" s="16">
        <f>VLOOKUP($BS61,$AS60:$BA63,6,FALSE)</f>
        <v>0</v>
      </c>
      <c r="BW61" s="16" t="str">
        <f>IF(AND($BT61=$BT63,$BU61=$BU63,$BV63&gt;$BV61),$BS63,$BS61)</f>
        <v>9e Beste nrs. 3</v>
      </c>
      <c r="BX61" s="16">
        <f>VLOOKUP($BW61,$AS60:$BA63,9,FALSE)</f>
        <v>3</v>
      </c>
      <c r="BY61" s="16">
        <f>VLOOKUP($BW61,$AS60:$BA63,8,FALSE)</f>
        <v>0</v>
      </c>
      <c r="BZ61" s="16">
        <f>VLOOKUP($BW61,$AS60:$BA63,6,FALSE)</f>
        <v>0</v>
      </c>
      <c r="CA61" s="16" t="str">
        <f>IF(AND($BX61=$BX62,$BY61=$BY62,$BZ62&gt;$BZ61),$BW62,$BW61)</f>
        <v>9e Beste nrs. 3</v>
      </c>
      <c r="CB61" s="16">
        <f>VLOOKUP($CA61,$AS60:$BA63,9,FALSE)</f>
        <v>3</v>
      </c>
      <c r="CC61" s="16">
        <f>VLOOKUP($CA61,$AS60:$BA63,8,FALSE)</f>
        <v>0</v>
      </c>
      <c r="CD61" s="16">
        <f>VLOOKUP($CA61,$AS60:$BA63,6,FALSE)</f>
        <v>0</v>
      </c>
      <c r="CH61" s="16" t="str">
        <f>CA61</f>
        <v>9e Beste nrs. 3</v>
      </c>
      <c r="CI61" s="16">
        <f>VLOOKUP($CH61,$AS60:$BA63,2,FALSE)</f>
        <v>3</v>
      </c>
      <c r="CJ61" s="16">
        <f>VLOOKUP($CH61,$AS60:$BA63,3,FALSE)</f>
        <v>0</v>
      </c>
      <c r="CK61" s="16">
        <f>VLOOKUP($CH61,$AS60:$BA63,4,FALSE)</f>
        <v>0</v>
      </c>
      <c r="CL61" s="16">
        <f>VLOOKUP($CH61,$AS60:$BA63,5,FALSE)</f>
        <v>3</v>
      </c>
      <c r="CM61" s="16">
        <f>VLOOKUP($CH61,$AS60:$BA63,6,FALSE)</f>
        <v>0</v>
      </c>
      <c r="CN61" s="16">
        <f>VLOOKUP($CH61,$AS60:$BA63,7,FALSE)</f>
        <v>0</v>
      </c>
      <c r="CO61" s="16">
        <f>VLOOKUP($CH61,$AS60:$BA63,8,FALSE)</f>
        <v>0</v>
      </c>
      <c r="CP61" s="16">
        <f>VLOOKUP($CH61,$AS60:$BA63,9,FALSE)</f>
        <v>3</v>
      </c>
      <c r="CR61" s="21" t="e">
        <f>#REF!</f>
        <v>#REF!</v>
      </c>
    </row>
    <row r="62" spans="1:96" ht="12.95" customHeight="1" thickBot="1" x14ac:dyDescent="0.25">
      <c r="A62" s="540"/>
      <c r="B62" s="518"/>
      <c r="C62" s="283"/>
      <c r="D62" s="24"/>
      <c r="E62" s="283"/>
      <c r="F62" s="518"/>
      <c r="G62" s="518"/>
      <c r="H62" s="518"/>
      <c r="I62" s="27"/>
      <c r="J62" s="283"/>
      <c r="K62" s="129"/>
      <c r="L62" s="518"/>
      <c r="M62" s="518"/>
      <c r="N62" s="518"/>
      <c r="O62" s="518"/>
      <c r="P62" s="518"/>
      <c r="R62" s="540"/>
      <c r="S62" s="518"/>
      <c r="T62" s="283"/>
      <c r="V62" s="283"/>
      <c r="W62" s="518"/>
      <c r="X62" s="518"/>
      <c r="Y62" s="518"/>
      <c r="Z62" s="27"/>
      <c r="AA62" s="283"/>
      <c r="AB62" s="129"/>
      <c r="AC62" s="518"/>
      <c r="AD62" s="518"/>
      <c r="AE62" s="518"/>
      <c r="AF62" s="518"/>
      <c r="AG62" s="518"/>
      <c r="AI62" s="240" t="e">
        <f>IF(G5=3,C5,"Winner A")</f>
        <v>#REF!</v>
      </c>
      <c r="AJ62" s="240"/>
      <c r="AK62" s="236"/>
      <c r="AL62" s="82" t="e">
        <f>IF(X37=3,T37,"Runner-Up F")</f>
        <v>#REF!</v>
      </c>
      <c r="AM62" s="47"/>
      <c r="AN62" s="41"/>
      <c r="AO62" s="41" t="str">
        <f>IF(AJ62&lt;&gt;"",IF(AJ62&gt;AK62,AI62,IF(AK62&gt;AJ62,AL62,"Draw")),"Second Rd 2")</f>
        <v>Second Rd 2</v>
      </c>
      <c r="AP62" s="41"/>
      <c r="AS62" s="16" t="str">
        <f>EINDRONDE!AB10</f>
        <v>Veddetero's klunzen</v>
      </c>
      <c r="AT62" s="16">
        <f>COUNT(Russia_Played)</f>
        <v>3</v>
      </c>
      <c r="AU62" s="16">
        <f>COUNTIF(Groupstage_Winners,"Russia")</f>
        <v>0</v>
      </c>
      <c r="AV62" s="16">
        <f>COUNTIF(Groupstage_Losers,"Russia")</f>
        <v>0</v>
      </c>
      <c r="AW62" s="16">
        <f>AT62-(AU62+AV62)</f>
        <v>3</v>
      </c>
      <c r="AX62" s="16">
        <f>SUM(Russia_Played)</f>
        <v>0</v>
      </c>
      <c r="AY62" s="16">
        <f>SUM(Russia_Against)</f>
        <v>0</v>
      </c>
      <c r="AZ62" s="16">
        <f>AX62-AY62</f>
        <v>0</v>
      </c>
      <c r="BA62" s="16">
        <f t="shared" si="21"/>
        <v>3</v>
      </c>
      <c r="BB62" s="16" t="str">
        <f>IF($BA62&gt;=$BA63,$AS62,$AS63)</f>
        <v>Veddetero's klunzen</v>
      </c>
      <c r="BC62" s="16">
        <f>VLOOKUP($BB62,$AS60:$BA63,9,FALSE)</f>
        <v>3</v>
      </c>
      <c r="BD62" s="16" t="str">
        <f>IF($BC62&lt;=$BC60,$BB62,$BB60)</f>
        <v>Veddetero's klunzen</v>
      </c>
      <c r="BE62" s="16">
        <f>VLOOKUP($BD62,$AS60:$BA63,9,FALSE)</f>
        <v>3</v>
      </c>
      <c r="BF62" s="16" t="str">
        <f>IF($BE62&lt;=$BE61,$BD62,$BD61)</f>
        <v>Veddetero's klunzen</v>
      </c>
      <c r="BG62" s="16">
        <f>VLOOKUP($BF62,$AS60:$BA63,9,FALSE)</f>
        <v>3</v>
      </c>
      <c r="BH62" s="16">
        <f>VLOOKUP($BF62,$AS60:$BA63,8,FALSE)</f>
        <v>0</v>
      </c>
      <c r="BI62" s="16" t="str">
        <f>IF(AND($BG62=$BG63,$BH63&gt;$BH62),$BF63,$BF62)</f>
        <v>Veddetero's klunzen</v>
      </c>
      <c r="BJ62" s="16">
        <f>VLOOKUP($BI62,$AS60:$BA63,9,FALSE)</f>
        <v>3</v>
      </c>
      <c r="BK62" s="16">
        <f>VLOOKUP($BI62,$AS60:$BA63,8,FALSE)</f>
        <v>0</v>
      </c>
      <c r="BL62" s="16" t="str">
        <f>IF(AND($BJ60=$BJ62,$BK62&gt;$BK60),$BI60,$BI62)</f>
        <v>Veddetero's klunzen</v>
      </c>
      <c r="BM62" s="16">
        <f>VLOOKUP($BL62,$AS60:$BA63,9,FALSE)</f>
        <v>3</v>
      </c>
      <c r="BN62" s="16">
        <f>VLOOKUP($BL62,$AS60:$BA63,8,FALSE)</f>
        <v>0</v>
      </c>
      <c r="BO62" s="16" t="str">
        <f>IF(AND($BM61=$BM62,$BN62&gt;$BN61),$BL61,$BL62)</f>
        <v>Veddetero's klunzen</v>
      </c>
      <c r="BP62" s="16">
        <f>VLOOKUP($BO62,$AS60:$BA63,9,FALSE)</f>
        <v>3</v>
      </c>
      <c r="BQ62" s="16">
        <f>VLOOKUP($BO62,$AS60:$BA63,8,FALSE)</f>
        <v>0</v>
      </c>
      <c r="BR62" s="16">
        <f>VLOOKUP($BO62,$AS60:$BA63,6,FALSE)</f>
        <v>0</v>
      </c>
      <c r="BS62" s="16" t="str">
        <f>IF(AND($BP62=$BP63,$BQ62=$BQ63,$BR63&gt;$BR62),$BO63,$BO62)</f>
        <v>Veddetero's klunzen</v>
      </c>
      <c r="BT62" s="16">
        <f>VLOOKUP($BS62,$AS60:$BA63,9,FALSE)</f>
        <v>3</v>
      </c>
      <c r="BU62" s="16">
        <f>VLOOKUP($BS62,$AS60:$BA63,8,FALSE)</f>
        <v>0</v>
      </c>
      <c r="BV62" s="16">
        <f>VLOOKUP($BS62,$AS60:$BA63,6,FALSE)</f>
        <v>0</v>
      </c>
      <c r="BW62" s="16" t="str">
        <f>IF(AND($BT60=$BT62,$BU60=$BU62,$BV61&gt;$BV60),$BS60,$BS62)</f>
        <v>Veddetero's klunzen</v>
      </c>
      <c r="BX62" s="16">
        <f>VLOOKUP($BW62,$AS60:$BA63,9,FALSE)</f>
        <v>3</v>
      </c>
      <c r="BY62" s="16">
        <f>VLOOKUP($BW62,$AS60:$BA63,8,FALSE)</f>
        <v>0</v>
      </c>
      <c r="BZ62" s="16">
        <f>VLOOKUP($BW62,$AS60:$BA63,6,FALSE)</f>
        <v>0</v>
      </c>
      <c r="CA62" s="16" t="str">
        <f>IF(AND($BX61=$BX62,$BY61=$BY62,$BZ62&gt;$BZ61),$BW61,$BW62)</f>
        <v>Veddetero's klunzen</v>
      </c>
      <c r="CB62" s="16">
        <f>VLOOKUP($CA62,$AS60:$BA63,9,FALSE)</f>
        <v>3</v>
      </c>
      <c r="CC62" s="16">
        <f>VLOOKUP($CA62,$AS60:$BA63,8,FALSE)</f>
        <v>0</v>
      </c>
      <c r="CD62" s="16">
        <f>VLOOKUP($CA62,$AS60:$BA63,6,FALSE)</f>
        <v>0</v>
      </c>
      <c r="CH62" s="16" t="str">
        <f>CA62</f>
        <v>Veddetero's klunzen</v>
      </c>
      <c r="CI62" s="16">
        <f>VLOOKUP($CH62,$AS60:$BA63,2,FALSE)</f>
        <v>3</v>
      </c>
      <c r="CJ62" s="16">
        <f>VLOOKUP($CH62,$AS60:$BA63,3,FALSE)</f>
        <v>0</v>
      </c>
      <c r="CK62" s="16">
        <f>VLOOKUP($CH62,$AS60:$BA63,4,FALSE)</f>
        <v>0</v>
      </c>
      <c r="CL62" s="16">
        <f>VLOOKUP($CH62,$AS60:$BA63,5,FALSE)</f>
        <v>3</v>
      </c>
      <c r="CM62" s="16">
        <f>VLOOKUP($CH62,$AS60:$BA63,6,FALSE)</f>
        <v>0</v>
      </c>
      <c r="CN62" s="16">
        <f>VLOOKUP($CH62,$AS60:$BA63,7,FALSE)</f>
        <v>0</v>
      </c>
      <c r="CO62" s="16">
        <f>VLOOKUP($CH62,$AS60:$BA63,8,FALSE)</f>
        <v>0</v>
      </c>
      <c r="CP62" s="16">
        <f>VLOOKUP($CH62,$AS60:$BA63,9,FALSE)</f>
        <v>3</v>
      </c>
      <c r="CR62" s="21" t="e">
        <f>#REF!</f>
        <v>#REF!</v>
      </c>
    </row>
    <row r="63" spans="1:96" ht="13.5" thickBot="1" x14ac:dyDescent="0.25">
      <c r="AI63" s="240" t="e">
        <f>IF(X36=3,T36,"Winner F")</f>
        <v>#REF!</v>
      </c>
      <c r="AJ63" s="240"/>
      <c r="AK63" s="236"/>
      <c r="AL63" s="82" t="e">
        <f>IF(G6=3,C6,"Runner-Up A")</f>
        <v>#REF!</v>
      </c>
      <c r="AN63" s="41"/>
      <c r="AO63" s="41" t="str">
        <f>IF(AJ63&lt;&gt;"",IF(AJ63&gt;AK63,AI63,IF(AK63&gt;AJ63,AL63,"Draw")),"Second Rd 3")</f>
        <v>Second Rd 3</v>
      </c>
      <c r="AP63" s="41"/>
      <c r="AS63" s="16" t="str">
        <f>EINDRONDE!AB11</f>
        <v>4e Poule E</v>
      </c>
      <c r="AT63" s="16">
        <f>COUNT(Tunisia_Played)</f>
        <v>3</v>
      </c>
      <c r="AU63" s="16">
        <f>COUNTIF(Groupstage_Winners,"Tunisia")</f>
        <v>0</v>
      </c>
      <c r="AV63" s="16">
        <f>COUNTIF(Groupstage_Losers,"Tunisia")</f>
        <v>0</v>
      </c>
      <c r="AW63" s="16">
        <f>AT63-(AU63+AV63)</f>
        <v>3</v>
      </c>
      <c r="AX63" s="16">
        <f>SUM(Tunisia_Played)</f>
        <v>0</v>
      </c>
      <c r="AY63" s="16">
        <f>SUM(Tunisia_Against)</f>
        <v>0</v>
      </c>
      <c r="AZ63" s="16">
        <f>AX63-AY63</f>
        <v>0</v>
      </c>
      <c r="BA63" s="16">
        <f t="shared" si="21"/>
        <v>3</v>
      </c>
      <c r="BB63" s="16" t="str">
        <f>IF($BA63&lt;=$BA62,$AS63,$AS62)</f>
        <v>4e Poule E</v>
      </c>
      <c r="BC63" s="16">
        <f>VLOOKUP($BB63,$AS60:$BA63,9,FALSE)</f>
        <v>3</v>
      </c>
      <c r="BD63" s="16" t="str">
        <f>IF(BC63&lt;=BC61,BB63,BB61)</f>
        <v>4e Poule E</v>
      </c>
      <c r="BE63" s="16">
        <f>VLOOKUP($BD63,$AS60:$BA63,9,FALSE)</f>
        <v>3</v>
      </c>
      <c r="BF63" s="16" t="str">
        <f>IF($BE63&lt;=$BE60,$BD63,$BD60)</f>
        <v>4e Poule E</v>
      </c>
      <c r="BG63" s="16">
        <f>VLOOKUP($BF63,$AS60:$BA63,9,FALSE)</f>
        <v>3</v>
      </c>
      <c r="BH63" s="16">
        <f>VLOOKUP($BF63,$AS60:$BA63,8,FALSE)</f>
        <v>0</v>
      </c>
      <c r="BI63" s="16" t="str">
        <f>IF(AND($BG62=$BG63,$BH63&gt;$BH62),$BF62,$BF63)</f>
        <v>4e Poule E</v>
      </c>
      <c r="BJ63" s="16">
        <f>VLOOKUP($BI63,$AS60:$BA63,9,FALSE)</f>
        <v>3</v>
      </c>
      <c r="BK63" s="16">
        <f>VLOOKUP($BI63,$AS60:$BA63,8,FALSE)</f>
        <v>0</v>
      </c>
      <c r="BL63" s="16" t="str">
        <f>IF(AND($BJ61=$BJ63,$BK63&gt;$BK61),$BI61,$BI63)</f>
        <v>4e Poule E</v>
      </c>
      <c r="BM63" s="16">
        <f>VLOOKUP($BL63,$AS60:$BA63,9,FALSE)</f>
        <v>3</v>
      </c>
      <c r="BN63" s="16">
        <f>VLOOKUP($BL63,$AS60:$BA63,8,FALSE)</f>
        <v>0</v>
      </c>
      <c r="BO63" s="16" t="str">
        <f>IF(AND($BM60=$BM63,$BN63&gt;$BN60),$BL60,$BL63)</f>
        <v>4e Poule E</v>
      </c>
      <c r="BP63" s="16">
        <f>VLOOKUP($BO63,$AS60:$BA63,9,FALSE)</f>
        <v>3</v>
      </c>
      <c r="BQ63" s="16">
        <f>VLOOKUP($BO63,$AS60:$BA63,8,FALSE)</f>
        <v>0</v>
      </c>
      <c r="BR63" s="16">
        <f>VLOOKUP($BO63,$AS60:$BA63,6,FALSE)</f>
        <v>0</v>
      </c>
      <c r="BS63" s="16" t="str">
        <f>IF(AND($BP62=$BP63,$BQ62=$BQ63,$BR63&gt;$BR62),$BO62,$BO63)</f>
        <v>4e Poule E</v>
      </c>
      <c r="BT63" s="16">
        <f>VLOOKUP($BS63,$AS60:$BA63,9,FALSE)</f>
        <v>3</v>
      </c>
      <c r="BU63" s="16">
        <f>VLOOKUP($BS63,$AS60:$BA63,8,FALSE)</f>
        <v>0</v>
      </c>
      <c r="BV63" s="16">
        <f>VLOOKUP($BS63,$AS60:$BA63,6,FALSE)</f>
        <v>0</v>
      </c>
      <c r="BW63" s="16" t="str">
        <f>IF(AND($BT61=$BT63,$BU61=$BU63,$BV63&gt;$BV61),$BS61,$BS63)</f>
        <v>4e Poule E</v>
      </c>
      <c r="BX63" s="16">
        <f>VLOOKUP($BW63,$AS60:$BA63,9,FALSE)</f>
        <v>3</v>
      </c>
      <c r="BY63" s="16">
        <f>VLOOKUP($BW63,$AS60:$BA63,8,FALSE)</f>
        <v>0</v>
      </c>
      <c r="BZ63" s="16">
        <f>VLOOKUP($BW63,$AS60:$BA63,6,FALSE)</f>
        <v>0</v>
      </c>
      <c r="CA63" s="16" t="str">
        <f>IF(AND($BX60=$BX63,$BY60=$BY63,$BZ63&gt;$BZ60),$BW60,$BW63)</f>
        <v>4e Poule E</v>
      </c>
      <c r="CB63" s="16">
        <f>VLOOKUP($CA63,$AS60:$BA63,9,FALSE)</f>
        <v>3</v>
      </c>
      <c r="CC63" s="16">
        <f>VLOOKUP($CA63,$AS60:$BA63,8,FALSE)</f>
        <v>0</v>
      </c>
      <c r="CD63" s="16">
        <f>VLOOKUP($CA63,$AS60:$BA63,6,FALSE)</f>
        <v>0</v>
      </c>
      <c r="CH63" s="16" t="str">
        <f>CA63</f>
        <v>4e Poule E</v>
      </c>
      <c r="CI63" s="16">
        <f>VLOOKUP($CH63,$AS60:$BA63,2,FALSE)</f>
        <v>3</v>
      </c>
      <c r="CJ63" s="16">
        <f>VLOOKUP($CH63,$AS60:$BA63,3,FALSE)</f>
        <v>0</v>
      </c>
      <c r="CK63" s="16">
        <f>VLOOKUP($CH63,$AS60:$BA63,4,FALSE)</f>
        <v>0</v>
      </c>
      <c r="CL63" s="16">
        <f>VLOOKUP($CH63,$AS60:$BA63,5,FALSE)</f>
        <v>3</v>
      </c>
      <c r="CM63" s="16">
        <f>VLOOKUP($CH63,$AS60:$BA63,6,FALSE)</f>
        <v>0</v>
      </c>
      <c r="CN63" s="16">
        <f>VLOOKUP($CH63,$AS60:$BA63,7,FALSE)</f>
        <v>0</v>
      </c>
      <c r="CO63" s="16">
        <f>VLOOKUP($CH63,$AS60:$BA63,8,FALSE)</f>
        <v>0</v>
      </c>
      <c r="CP63" s="16">
        <f>VLOOKUP($CH63,$AS60:$BA63,9,FALSE)</f>
        <v>3</v>
      </c>
      <c r="CR63" s="21" t="e">
        <f>#REF!</f>
        <v>#REF!</v>
      </c>
    </row>
    <row r="64" spans="1:96" ht="13.5" thickBot="1" x14ac:dyDescent="0.25">
      <c r="AI64" s="240" t="e">
        <f>IF(X5=3,T5,"Winner B")</f>
        <v>#REF!</v>
      </c>
      <c r="AJ64" s="240"/>
      <c r="AK64" s="236"/>
      <c r="AL64" s="82" t="e">
        <f>IF(G37=3,C37,"Runner-Up E")</f>
        <v>#REF!</v>
      </c>
      <c r="AN64" s="41"/>
      <c r="AO64" s="41" t="str">
        <f>IF(AJ64&lt;&gt;"",IF(AJ64&gt;AK64,AI64,IF(AK64&gt;AJ64,AL64,"Draw")),"Second Rd 4")</f>
        <v>Second Rd 4</v>
      </c>
      <c r="AP64" s="41"/>
      <c r="CR64" s="21" t="e">
        <f>#REF!</f>
        <v>#REF!</v>
      </c>
    </row>
    <row r="65" spans="96:96" x14ac:dyDescent="0.2">
      <c r="CR65" s="21"/>
    </row>
    <row r="66" spans="96:96" x14ac:dyDescent="0.2">
      <c r="CR66" s="21"/>
    </row>
    <row r="67" spans="96:96" x14ac:dyDescent="0.2">
      <c r="CR67" s="21"/>
    </row>
    <row r="68" spans="96:96" x14ac:dyDescent="0.2">
      <c r="CR68" s="21"/>
    </row>
    <row r="69" spans="96:96" x14ac:dyDescent="0.2">
      <c r="CR69" s="21"/>
    </row>
    <row r="70" spans="96:96" x14ac:dyDescent="0.2">
      <c r="CR70" s="21"/>
    </row>
    <row r="71" spans="96:96" x14ac:dyDescent="0.2">
      <c r="CR71" s="21"/>
    </row>
    <row r="72" spans="96:96" x14ac:dyDescent="0.2">
      <c r="CR72" s="21"/>
    </row>
    <row r="73" spans="96:96" x14ac:dyDescent="0.2">
      <c r="CR73" s="21"/>
    </row>
    <row r="74" spans="96:96" x14ac:dyDescent="0.2">
      <c r="CR74" s="21"/>
    </row>
    <row r="75" spans="96:96" x14ac:dyDescent="0.2">
      <c r="CR75" s="21"/>
    </row>
    <row r="76" spans="96:96" x14ac:dyDescent="0.2">
      <c r="CR76" s="21"/>
    </row>
    <row r="77" spans="96:96" x14ac:dyDescent="0.2">
      <c r="CR77" s="21"/>
    </row>
    <row r="78" spans="96:96" x14ac:dyDescent="0.2">
      <c r="CR78" s="21"/>
    </row>
    <row r="79" spans="96:96" x14ac:dyDescent="0.2">
      <c r="CR79" s="21"/>
    </row>
    <row r="80" spans="96:96" x14ac:dyDescent="0.2">
      <c r="CR80" s="21"/>
    </row>
    <row r="81" spans="96:96" x14ac:dyDescent="0.2">
      <c r="CR81" s="21"/>
    </row>
    <row r="82" spans="96:96" x14ac:dyDescent="0.2">
      <c r="CR82" s="21"/>
    </row>
    <row r="83" spans="96:96" x14ac:dyDescent="0.2">
      <c r="CR83" s="21"/>
    </row>
    <row r="84" spans="96:96" x14ac:dyDescent="0.2">
      <c r="CR84" s="21"/>
    </row>
    <row r="85" spans="96:96" x14ac:dyDescent="0.2">
      <c r="CR85" s="21"/>
    </row>
    <row r="86" spans="96:96" x14ac:dyDescent="0.2">
      <c r="CR86" s="21"/>
    </row>
    <row r="87" spans="96:96" x14ac:dyDescent="0.2">
      <c r="CR87" s="21"/>
    </row>
    <row r="88" spans="96:96" x14ac:dyDescent="0.2">
      <c r="CR88" s="21"/>
    </row>
    <row r="89" spans="96:96" x14ac:dyDescent="0.2">
      <c r="CR89" s="21"/>
    </row>
    <row r="90" spans="96:96" x14ac:dyDescent="0.2">
      <c r="CR90" s="21"/>
    </row>
    <row r="91" spans="96:96" x14ac:dyDescent="0.2">
      <c r="CR91" s="21"/>
    </row>
    <row r="92" spans="96:96" x14ac:dyDescent="0.2">
      <c r="CR92" s="21"/>
    </row>
    <row r="93" spans="96:96" x14ac:dyDescent="0.2">
      <c r="CR93" s="21"/>
    </row>
    <row r="94" spans="96:96" x14ac:dyDescent="0.2">
      <c r="CR94" s="21"/>
    </row>
    <row r="95" spans="96:96" x14ac:dyDescent="0.2">
      <c r="CR95" s="21"/>
    </row>
    <row r="96" spans="96:96" x14ac:dyDescent="0.2">
      <c r="CR96" s="21"/>
    </row>
    <row r="97" spans="96:96" x14ac:dyDescent="0.2">
      <c r="CR97" s="21"/>
    </row>
    <row r="98" spans="96:96" x14ac:dyDescent="0.2">
      <c r="CR98" s="21"/>
    </row>
    <row r="99" spans="96:96" x14ac:dyDescent="0.2">
      <c r="CR99" s="21"/>
    </row>
    <row r="100" spans="96:96" x14ac:dyDescent="0.2">
      <c r="CR100" s="21"/>
    </row>
    <row r="101" spans="96:96" x14ac:dyDescent="0.2">
      <c r="CR101" s="21"/>
    </row>
    <row r="102" spans="96:96" x14ac:dyDescent="0.2">
      <c r="CR102" s="21"/>
    </row>
    <row r="103" spans="96:96" x14ac:dyDescent="0.2">
      <c r="CR103" s="21"/>
    </row>
    <row r="104" spans="96:96" x14ac:dyDescent="0.2">
      <c r="CR104" s="21"/>
    </row>
    <row r="105" spans="96:96" x14ac:dyDescent="0.2">
      <c r="CR105" s="21"/>
    </row>
    <row r="106" spans="96:96" x14ac:dyDescent="0.2">
      <c r="CR106" s="21"/>
    </row>
    <row r="107" spans="96:96" x14ac:dyDescent="0.2">
      <c r="CR107" s="21"/>
    </row>
    <row r="108" spans="96:96" x14ac:dyDescent="0.2">
      <c r="CR108" s="21"/>
    </row>
    <row r="109" spans="96:96" x14ac:dyDescent="0.2">
      <c r="CR109" s="21"/>
    </row>
    <row r="110" spans="96:96" x14ac:dyDescent="0.2">
      <c r="CR110" s="21"/>
    </row>
    <row r="111" spans="96:96" x14ac:dyDescent="0.2">
      <c r="CR111" s="21"/>
    </row>
    <row r="112" spans="96:96" x14ac:dyDescent="0.2">
      <c r="CR112" s="21"/>
    </row>
    <row r="113" spans="96:96" x14ac:dyDescent="0.2">
      <c r="CR113" s="21"/>
    </row>
    <row r="114" spans="96:96" x14ac:dyDescent="0.2">
      <c r="CR114" s="21"/>
    </row>
    <row r="115" spans="96:96" x14ac:dyDescent="0.2">
      <c r="CR115" s="21"/>
    </row>
    <row r="116" spans="96:96" x14ac:dyDescent="0.2">
      <c r="CR116" s="21"/>
    </row>
    <row r="117" spans="96:96" x14ac:dyDescent="0.2">
      <c r="CR117" s="21"/>
    </row>
    <row r="118" spans="96:96" x14ac:dyDescent="0.2">
      <c r="CR118" s="21"/>
    </row>
    <row r="119" spans="96:96" x14ac:dyDescent="0.2">
      <c r="CR119" s="21"/>
    </row>
    <row r="120" spans="96:96" x14ac:dyDescent="0.2">
      <c r="CR120" s="21"/>
    </row>
    <row r="121" spans="96:96" x14ac:dyDescent="0.2">
      <c r="CR121" s="21"/>
    </row>
    <row r="122" spans="96:96" x14ac:dyDescent="0.2">
      <c r="CR122" s="21"/>
    </row>
    <row r="123" spans="96:96" x14ac:dyDescent="0.2">
      <c r="CR123" s="21"/>
    </row>
    <row r="124" spans="96:96" x14ac:dyDescent="0.2">
      <c r="CR124" s="18"/>
    </row>
    <row r="125" spans="96:96" x14ac:dyDescent="0.2">
      <c r="CR125" s="18"/>
    </row>
    <row r="126" spans="96:96" x14ac:dyDescent="0.2">
      <c r="CR126" s="18"/>
    </row>
    <row r="127" spans="96:96" x14ac:dyDescent="0.2">
      <c r="CR127" s="18"/>
    </row>
    <row r="128" spans="96:96" x14ac:dyDescent="0.2">
      <c r="CR128" s="18"/>
    </row>
    <row r="129" spans="96:96" x14ac:dyDescent="0.2">
      <c r="CR129" s="18"/>
    </row>
    <row r="130" spans="96:96" x14ac:dyDescent="0.2">
      <c r="CR130" s="18"/>
    </row>
    <row r="131" spans="96:96" x14ac:dyDescent="0.2">
      <c r="CR131" s="18"/>
    </row>
    <row r="132" spans="96:96" x14ac:dyDescent="0.2">
      <c r="CR132" s="18"/>
    </row>
    <row r="133" spans="96:96" x14ac:dyDescent="0.2">
      <c r="CR133" s="18"/>
    </row>
    <row r="134" spans="96:96" x14ac:dyDescent="0.2">
      <c r="CR134" s="18"/>
    </row>
    <row r="135" spans="96:96" x14ac:dyDescent="0.2">
      <c r="CR135" s="18"/>
    </row>
    <row r="136" spans="96:96" x14ac:dyDescent="0.2">
      <c r="CR136" s="18"/>
    </row>
    <row r="137" spans="96:96" x14ac:dyDescent="0.2">
      <c r="CR137" s="18"/>
    </row>
    <row r="138" spans="96:96" x14ac:dyDescent="0.2">
      <c r="CR138" s="18"/>
    </row>
    <row r="139" spans="96:96" x14ac:dyDescent="0.2">
      <c r="CR139" s="18"/>
    </row>
    <row r="140" spans="96:96" x14ac:dyDescent="0.2">
      <c r="CR140" s="18"/>
    </row>
    <row r="141" spans="96:96" x14ac:dyDescent="0.2">
      <c r="CR141" s="18"/>
    </row>
    <row r="142" spans="96:96" x14ac:dyDescent="0.2">
      <c r="CR142" s="18"/>
    </row>
    <row r="143" spans="96:96" x14ac:dyDescent="0.2">
      <c r="CR143" s="18"/>
    </row>
    <row r="144" spans="96:96" x14ac:dyDescent="0.2">
      <c r="CR144" s="18"/>
    </row>
    <row r="145" spans="96:96" x14ac:dyDescent="0.2">
      <c r="CR145" s="18"/>
    </row>
    <row r="146" spans="96:96" x14ac:dyDescent="0.2">
      <c r="CR146" s="18"/>
    </row>
    <row r="147" spans="96:96" x14ac:dyDescent="0.2">
      <c r="CR147" s="18"/>
    </row>
    <row r="148" spans="96:96" x14ac:dyDescent="0.2">
      <c r="CR148" s="18"/>
    </row>
    <row r="149" spans="96:96" x14ac:dyDescent="0.2">
      <c r="CR149" s="18"/>
    </row>
    <row r="150" spans="96:96" x14ac:dyDescent="0.2">
      <c r="CR150" s="18"/>
    </row>
    <row r="151" spans="96:96" x14ac:dyDescent="0.2">
      <c r="CR151" s="18"/>
    </row>
    <row r="152" spans="96:96" x14ac:dyDescent="0.2">
      <c r="CR152" s="18"/>
    </row>
    <row r="153" spans="96:96" x14ac:dyDescent="0.2">
      <c r="CR153" s="18"/>
    </row>
    <row r="154" spans="96:96" x14ac:dyDescent="0.2">
      <c r="CR154" s="18"/>
    </row>
    <row r="155" spans="96:96" x14ac:dyDescent="0.2">
      <c r="CR155" s="18"/>
    </row>
    <row r="156" spans="96:96" x14ac:dyDescent="0.2">
      <c r="CR156" s="18"/>
    </row>
    <row r="157" spans="96:96" x14ac:dyDescent="0.2">
      <c r="CR157" s="18"/>
    </row>
    <row r="158" spans="96:96" x14ac:dyDescent="0.2">
      <c r="CR158" s="18"/>
    </row>
    <row r="159" spans="96:96" x14ac:dyDescent="0.2">
      <c r="CR159" s="18"/>
    </row>
    <row r="160" spans="96:96" x14ac:dyDescent="0.2">
      <c r="CR160" s="18"/>
    </row>
    <row r="161" spans="96:96" x14ac:dyDescent="0.2">
      <c r="CR161" s="18"/>
    </row>
    <row r="162" spans="96:96" x14ac:dyDescent="0.2">
      <c r="CR162" s="18"/>
    </row>
    <row r="163" spans="96:96" x14ac:dyDescent="0.2">
      <c r="CR163" s="18"/>
    </row>
    <row r="164" spans="96:96" x14ac:dyDescent="0.2">
      <c r="CR164" s="18"/>
    </row>
    <row r="165" spans="96:96" x14ac:dyDescent="0.2">
      <c r="CR165" s="18"/>
    </row>
    <row r="166" spans="96:96" x14ac:dyDescent="0.2">
      <c r="CR166" s="18"/>
    </row>
    <row r="167" spans="96:96" x14ac:dyDescent="0.2">
      <c r="CR167" s="18"/>
    </row>
    <row r="168" spans="96:96" x14ac:dyDescent="0.2">
      <c r="CR168" s="18"/>
    </row>
    <row r="169" spans="96:96" x14ac:dyDescent="0.2">
      <c r="CR169" s="18"/>
    </row>
    <row r="170" spans="96:96" x14ac:dyDescent="0.2">
      <c r="CR170" s="18"/>
    </row>
    <row r="171" spans="96:96" x14ac:dyDescent="0.2">
      <c r="CR171" s="18"/>
    </row>
    <row r="172" spans="96:96" x14ac:dyDescent="0.2">
      <c r="CR172" s="18"/>
    </row>
    <row r="173" spans="96:96" x14ac:dyDescent="0.2">
      <c r="CR173" s="18"/>
    </row>
    <row r="174" spans="96:96" x14ac:dyDescent="0.2">
      <c r="CR174" s="18"/>
    </row>
    <row r="175" spans="96:96" x14ac:dyDescent="0.2">
      <c r="CR175" s="18"/>
    </row>
    <row r="176" spans="96:96" x14ac:dyDescent="0.2">
      <c r="CR176" s="18"/>
    </row>
    <row r="177" spans="96:96" x14ac:dyDescent="0.2">
      <c r="CR177" s="18"/>
    </row>
    <row r="178" spans="96:96" x14ac:dyDescent="0.2">
      <c r="CR178" s="18"/>
    </row>
    <row r="179" spans="96:96" x14ac:dyDescent="0.2">
      <c r="CR179" s="18"/>
    </row>
    <row r="180" spans="96:96" x14ac:dyDescent="0.2">
      <c r="CR180" s="18"/>
    </row>
    <row r="181" spans="96:96" x14ac:dyDescent="0.2">
      <c r="CR181" s="18"/>
    </row>
    <row r="182" spans="96:96" x14ac:dyDescent="0.2">
      <c r="CR182" s="18"/>
    </row>
    <row r="183" spans="96:96" x14ac:dyDescent="0.2">
      <c r="CR183" s="18"/>
    </row>
    <row r="184" spans="96:96" x14ac:dyDescent="0.2">
      <c r="CR184" s="18"/>
    </row>
    <row r="185" spans="96:96" x14ac:dyDescent="0.2">
      <c r="CR185" s="18"/>
    </row>
    <row r="186" spans="96:96" x14ac:dyDescent="0.2">
      <c r="CR186" s="18"/>
    </row>
    <row r="187" spans="96:96" x14ac:dyDescent="0.2">
      <c r="CR187" s="18"/>
    </row>
    <row r="188" spans="96:96" x14ac:dyDescent="0.2">
      <c r="CR188" s="18"/>
    </row>
    <row r="189" spans="96:96" x14ac:dyDescent="0.2">
      <c r="CR189" s="18"/>
    </row>
    <row r="190" spans="96:96" x14ac:dyDescent="0.2">
      <c r="CR190" s="18"/>
    </row>
    <row r="191" spans="96:96" x14ac:dyDescent="0.2">
      <c r="CR191" s="18"/>
    </row>
    <row r="192" spans="96:96" x14ac:dyDescent="0.2">
      <c r="CR192" s="18"/>
    </row>
    <row r="193" spans="96:96" x14ac:dyDescent="0.2">
      <c r="CR193" s="18"/>
    </row>
    <row r="194" spans="96:96" x14ac:dyDescent="0.2">
      <c r="CR194" s="18"/>
    </row>
    <row r="195" spans="96:96" x14ac:dyDescent="0.2">
      <c r="CR195" s="18"/>
    </row>
    <row r="196" spans="96:96" x14ac:dyDescent="0.2">
      <c r="CR196" s="18"/>
    </row>
    <row r="197" spans="96:96" x14ac:dyDescent="0.2">
      <c r="CR197" s="18"/>
    </row>
    <row r="198" spans="96:96" x14ac:dyDescent="0.2">
      <c r="CR198" s="18"/>
    </row>
    <row r="199" spans="96:96" x14ac:dyDescent="0.2">
      <c r="CR199" s="18"/>
    </row>
    <row r="200" spans="96:96" x14ac:dyDescent="0.2">
      <c r="CR200" s="18"/>
    </row>
    <row r="201" spans="96:96" x14ac:dyDescent="0.2">
      <c r="CR201" s="18"/>
    </row>
    <row r="202" spans="96:96" x14ac:dyDescent="0.2">
      <c r="CR202" s="18"/>
    </row>
    <row r="203" spans="96:96" x14ac:dyDescent="0.2">
      <c r="CR203" s="18"/>
    </row>
    <row r="204" spans="96:96" x14ac:dyDescent="0.2">
      <c r="CR204" s="18"/>
    </row>
    <row r="205" spans="96:96" x14ac:dyDescent="0.2">
      <c r="CR205" s="18"/>
    </row>
    <row r="206" spans="96:96" x14ac:dyDescent="0.2">
      <c r="CR206" s="18"/>
    </row>
    <row r="207" spans="96:96" x14ac:dyDescent="0.2">
      <c r="CR207" s="18"/>
    </row>
    <row r="208" spans="96:96" x14ac:dyDescent="0.2">
      <c r="CR208" s="18"/>
    </row>
    <row r="209" spans="96:96" x14ac:dyDescent="0.2">
      <c r="CR209" s="18"/>
    </row>
    <row r="210" spans="96:96" x14ac:dyDescent="0.2">
      <c r="CR210" s="18"/>
    </row>
    <row r="211" spans="96:96" x14ac:dyDescent="0.2">
      <c r="CR211" s="18"/>
    </row>
    <row r="212" spans="96:96" x14ac:dyDescent="0.2">
      <c r="CR212" s="18"/>
    </row>
    <row r="213" spans="96:96" x14ac:dyDescent="0.2">
      <c r="CR213" s="18"/>
    </row>
    <row r="214" spans="96:96" x14ac:dyDescent="0.2">
      <c r="CR214" s="18"/>
    </row>
    <row r="215" spans="96:96" x14ac:dyDescent="0.2">
      <c r="CR215" s="18"/>
    </row>
    <row r="216" spans="96:96" x14ac:dyDescent="0.2">
      <c r="CR216" s="18"/>
    </row>
    <row r="217" spans="96:96" x14ac:dyDescent="0.2">
      <c r="CR217" s="18"/>
    </row>
    <row r="218" spans="96:96" x14ac:dyDescent="0.2">
      <c r="CR218" s="18"/>
    </row>
    <row r="219" spans="96:96" x14ac:dyDescent="0.2">
      <c r="CR219" s="18"/>
    </row>
    <row r="220" spans="96:96" x14ac:dyDescent="0.2">
      <c r="CR220" s="18"/>
    </row>
    <row r="221" spans="96:96" x14ac:dyDescent="0.2">
      <c r="CR221" s="18"/>
    </row>
    <row r="222" spans="96:96" x14ac:dyDescent="0.2">
      <c r="CR222" s="18"/>
    </row>
    <row r="223" spans="96:96" x14ac:dyDescent="0.2">
      <c r="CR223" s="18"/>
    </row>
    <row r="224" spans="96:96" x14ac:dyDescent="0.2">
      <c r="CR224" s="18"/>
    </row>
    <row r="225" spans="96:96" x14ac:dyDescent="0.2">
      <c r="CR225" s="18"/>
    </row>
    <row r="226" spans="96:96" x14ac:dyDescent="0.2">
      <c r="CR226" s="18"/>
    </row>
    <row r="227" spans="96:96" x14ac:dyDescent="0.2">
      <c r="CR227" s="18"/>
    </row>
    <row r="228" spans="96:96" x14ac:dyDescent="0.2">
      <c r="CR228" s="18"/>
    </row>
    <row r="229" spans="96:96" x14ac:dyDescent="0.2">
      <c r="CR229" s="18"/>
    </row>
    <row r="230" spans="96:96" x14ac:dyDescent="0.2">
      <c r="CR230" s="18"/>
    </row>
    <row r="231" spans="96:96" x14ac:dyDescent="0.2">
      <c r="CR231" s="18"/>
    </row>
    <row r="232" spans="96:96" x14ac:dyDescent="0.2">
      <c r="CR232" s="18"/>
    </row>
    <row r="233" spans="96:96" x14ac:dyDescent="0.2">
      <c r="CR233" s="18"/>
    </row>
    <row r="234" spans="96:96" x14ac:dyDescent="0.2">
      <c r="CR234" s="18"/>
    </row>
    <row r="235" spans="96:96" x14ac:dyDescent="0.2">
      <c r="CR235" s="18"/>
    </row>
    <row r="236" spans="96:96" x14ac:dyDescent="0.2">
      <c r="CR236" s="18"/>
    </row>
    <row r="237" spans="96:96" x14ac:dyDescent="0.2">
      <c r="CR237" s="18"/>
    </row>
    <row r="238" spans="96:96" x14ac:dyDescent="0.2">
      <c r="CR238" s="18"/>
    </row>
    <row r="239" spans="96:96" x14ac:dyDescent="0.2">
      <c r="CR239" s="18"/>
    </row>
    <row r="240" spans="96:96" x14ac:dyDescent="0.2">
      <c r="CR240" s="18"/>
    </row>
    <row r="241" spans="96:96" x14ac:dyDescent="0.2">
      <c r="CR241" s="18"/>
    </row>
    <row r="242" spans="96:96" x14ac:dyDescent="0.2">
      <c r="CR242" s="18"/>
    </row>
    <row r="243" spans="96:96" x14ac:dyDescent="0.2">
      <c r="CR243" s="18"/>
    </row>
    <row r="244" spans="96:96" x14ac:dyDescent="0.2">
      <c r="CR244" s="18"/>
    </row>
    <row r="245" spans="96:96" x14ac:dyDescent="0.2">
      <c r="CR245" s="18"/>
    </row>
    <row r="246" spans="96:96" x14ac:dyDescent="0.2">
      <c r="CR246" s="18"/>
    </row>
    <row r="247" spans="96:96" x14ac:dyDescent="0.2">
      <c r="CR247" s="18"/>
    </row>
    <row r="248" spans="96:96" x14ac:dyDescent="0.2">
      <c r="CR248" s="18"/>
    </row>
    <row r="249" spans="96:96" x14ac:dyDescent="0.2">
      <c r="CR249" s="18"/>
    </row>
    <row r="250" spans="96:96" x14ac:dyDescent="0.2">
      <c r="CR250" s="18"/>
    </row>
    <row r="251" spans="96:96" x14ac:dyDescent="0.2">
      <c r="CR251" s="18"/>
    </row>
    <row r="252" spans="96:96" x14ac:dyDescent="0.2">
      <c r="CR252" s="18"/>
    </row>
    <row r="253" spans="96:96" x14ac:dyDescent="0.2">
      <c r="CR253" s="18"/>
    </row>
    <row r="254" spans="96:96" x14ac:dyDescent="0.2">
      <c r="CR254" s="18"/>
    </row>
    <row r="255" spans="96:96" x14ac:dyDescent="0.2">
      <c r="CR255" s="18"/>
    </row>
    <row r="256" spans="96:96" x14ac:dyDescent="0.2">
      <c r="CR256" s="18"/>
    </row>
    <row r="257" spans="96:96" x14ac:dyDescent="0.2">
      <c r="CR257" s="18"/>
    </row>
    <row r="258" spans="96:96" x14ac:dyDescent="0.2">
      <c r="CR258" s="18"/>
    </row>
    <row r="259" spans="96:96" x14ac:dyDescent="0.2">
      <c r="CR259" s="18"/>
    </row>
    <row r="260" spans="96:96" x14ac:dyDescent="0.2">
      <c r="CR260" s="18"/>
    </row>
    <row r="261" spans="96:96" x14ac:dyDescent="0.2">
      <c r="CR261" s="18"/>
    </row>
    <row r="262" spans="96:96" x14ac:dyDescent="0.2">
      <c r="CR262" s="18"/>
    </row>
    <row r="263" spans="96:96" x14ac:dyDescent="0.2">
      <c r="CR263" s="18"/>
    </row>
    <row r="264" spans="96:96" x14ac:dyDescent="0.2">
      <c r="CR264" s="18"/>
    </row>
    <row r="265" spans="96:96" x14ac:dyDescent="0.2">
      <c r="CR265" s="18"/>
    </row>
    <row r="266" spans="96:96" x14ac:dyDescent="0.2">
      <c r="CR266" s="18"/>
    </row>
    <row r="267" spans="96:96" x14ac:dyDescent="0.2">
      <c r="CR267" s="18"/>
    </row>
    <row r="268" spans="96:96" x14ac:dyDescent="0.2">
      <c r="CR268" s="18"/>
    </row>
    <row r="269" spans="96:96" x14ac:dyDescent="0.2">
      <c r="CR269" s="18"/>
    </row>
    <row r="270" spans="96:96" x14ac:dyDescent="0.2">
      <c r="CR270" s="18"/>
    </row>
    <row r="271" spans="96:96" x14ac:dyDescent="0.2">
      <c r="CR271" s="18"/>
    </row>
    <row r="272" spans="96:96" x14ac:dyDescent="0.2">
      <c r="CR272" s="18"/>
    </row>
    <row r="273" spans="96:96" x14ac:dyDescent="0.2">
      <c r="CR273" s="18"/>
    </row>
    <row r="274" spans="96:96" x14ac:dyDescent="0.2">
      <c r="CR274" s="18"/>
    </row>
    <row r="275" spans="96:96" x14ac:dyDescent="0.2">
      <c r="CR275" s="18"/>
    </row>
    <row r="276" spans="96:96" x14ac:dyDescent="0.2">
      <c r="CR276" s="18"/>
    </row>
    <row r="277" spans="96:96" x14ac:dyDescent="0.2">
      <c r="CR277" s="18"/>
    </row>
    <row r="278" spans="96:96" x14ac:dyDescent="0.2">
      <c r="CR278" s="18"/>
    </row>
    <row r="279" spans="96:96" x14ac:dyDescent="0.2">
      <c r="CR279" s="18"/>
    </row>
    <row r="280" spans="96:96" x14ac:dyDescent="0.2">
      <c r="CR280" s="18"/>
    </row>
    <row r="281" spans="96:96" x14ac:dyDescent="0.2">
      <c r="CR281" s="18"/>
    </row>
    <row r="282" spans="96:96" x14ac:dyDescent="0.2">
      <c r="CR282" s="18"/>
    </row>
    <row r="283" spans="96:96" x14ac:dyDescent="0.2">
      <c r="CR283" s="18"/>
    </row>
    <row r="284" spans="96:96" x14ac:dyDescent="0.2">
      <c r="CR284" s="18"/>
    </row>
    <row r="285" spans="96:96" x14ac:dyDescent="0.2">
      <c r="CR285" s="18"/>
    </row>
    <row r="286" spans="96:96" x14ac:dyDescent="0.2">
      <c r="CR286" s="18"/>
    </row>
    <row r="287" spans="96:96" x14ac:dyDescent="0.2">
      <c r="CR287" s="18"/>
    </row>
    <row r="288" spans="96:96" x14ac:dyDescent="0.2">
      <c r="CR288" s="18"/>
    </row>
    <row r="289" spans="96:96" x14ac:dyDescent="0.2">
      <c r="CR289" s="18"/>
    </row>
    <row r="290" spans="96:96" x14ac:dyDescent="0.2">
      <c r="CR290" s="18"/>
    </row>
    <row r="291" spans="96:96" x14ac:dyDescent="0.2">
      <c r="CR291" s="18"/>
    </row>
    <row r="292" spans="96:96" x14ac:dyDescent="0.2">
      <c r="CR292" s="18"/>
    </row>
    <row r="293" spans="96:96" x14ac:dyDescent="0.2">
      <c r="CR293" s="18"/>
    </row>
    <row r="294" spans="96:96" x14ac:dyDescent="0.2">
      <c r="CR294" s="18"/>
    </row>
    <row r="295" spans="96:96" x14ac:dyDescent="0.2">
      <c r="CR295" s="18"/>
    </row>
    <row r="296" spans="96:96" x14ac:dyDescent="0.2">
      <c r="CR296" s="18"/>
    </row>
    <row r="297" spans="96:96" x14ac:dyDescent="0.2">
      <c r="CR297" s="18"/>
    </row>
    <row r="298" spans="96:96" x14ac:dyDescent="0.2">
      <c r="CR298" s="18"/>
    </row>
    <row r="299" spans="96:96" x14ac:dyDescent="0.2">
      <c r="CR299" s="18"/>
    </row>
    <row r="300" spans="96:96" x14ac:dyDescent="0.2">
      <c r="CR300" s="18"/>
    </row>
    <row r="301" spans="96:96" x14ac:dyDescent="0.2">
      <c r="CR301" s="18"/>
    </row>
    <row r="302" spans="96:96" x14ac:dyDescent="0.2">
      <c r="CR302" s="18"/>
    </row>
    <row r="303" spans="96:96" x14ac:dyDescent="0.2">
      <c r="CR303" s="18"/>
    </row>
    <row r="304" spans="96:96" x14ac:dyDescent="0.2">
      <c r="CR304" s="18"/>
    </row>
    <row r="305" spans="96:96" x14ac:dyDescent="0.2">
      <c r="CR305" s="18"/>
    </row>
    <row r="306" spans="96:96" x14ac:dyDescent="0.2">
      <c r="CR306" s="18"/>
    </row>
    <row r="307" spans="96:96" x14ac:dyDescent="0.2">
      <c r="CR307" s="18"/>
    </row>
    <row r="308" spans="96:96" x14ac:dyDescent="0.2">
      <c r="CR308" s="18"/>
    </row>
    <row r="309" spans="96:96" x14ac:dyDescent="0.2">
      <c r="CR309" s="18"/>
    </row>
    <row r="310" spans="96:96" x14ac:dyDescent="0.2">
      <c r="CR310" s="18"/>
    </row>
    <row r="311" spans="96:96" x14ac:dyDescent="0.2">
      <c r="CR311" s="18"/>
    </row>
    <row r="312" spans="96:96" x14ac:dyDescent="0.2">
      <c r="CR312" s="18"/>
    </row>
    <row r="313" spans="96:96" x14ac:dyDescent="0.2">
      <c r="CR313" s="18"/>
    </row>
    <row r="314" spans="96:96" x14ac:dyDescent="0.2">
      <c r="CR314" s="18"/>
    </row>
    <row r="315" spans="96:96" x14ac:dyDescent="0.2">
      <c r="CR315" s="18"/>
    </row>
    <row r="316" spans="96:96" x14ac:dyDescent="0.2">
      <c r="CR316" s="18"/>
    </row>
    <row r="317" spans="96:96" x14ac:dyDescent="0.2">
      <c r="CR317" s="18"/>
    </row>
    <row r="318" spans="96:96" x14ac:dyDescent="0.2">
      <c r="CR318" s="18"/>
    </row>
    <row r="319" spans="96:96" x14ac:dyDescent="0.2">
      <c r="CR319" s="18"/>
    </row>
    <row r="320" spans="96:96" x14ac:dyDescent="0.2">
      <c r="CR320" s="18"/>
    </row>
    <row r="321" spans="96:96" x14ac:dyDescent="0.2">
      <c r="CR321" s="18"/>
    </row>
    <row r="322" spans="96:96" x14ac:dyDescent="0.2">
      <c r="CR322" s="18"/>
    </row>
    <row r="323" spans="96:96" x14ac:dyDescent="0.2">
      <c r="CR323" s="18"/>
    </row>
    <row r="324" spans="96:96" x14ac:dyDescent="0.2">
      <c r="CR324" s="18"/>
    </row>
    <row r="325" spans="96:96" x14ac:dyDescent="0.2">
      <c r="CR325" s="18"/>
    </row>
    <row r="326" spans="96:96" x14ac:dyDescent="0.2">
      <c r="CR326" s="18"/>
    </row>
    <row r="327" spans="96:96" x14ac:dyDescent="0.2">
      <c r="CR327" s="18"/>
    </row>
    <row r="328" spans="96:96" x14ac:dyDescent="0.2">
      <c r="CR328" s="18"/>
    </row>
    <row r="329" spans="96:96" x14ac:dyDescent="0.2">
      <c r="CR329" s="18"/>
    </row>
    <row r="330" spans="96:96" x14ac:dyDescent="0.2">
      <c r="CR330" s="18"/>
    </row>
    <row r="331" spans="96:96" x14ac:dyDescent="0.2">
      <c r="CR331" s="18"/>
    </row>
    <row r="332" spans="96:96" x14ac:dyDescent="0.2">
      <c r="CR332" s="18"/>
    </row>
    <row r="333" spans="96:96" x14ac:dyDescent="0.2">
      <c r="CR333" s="18"/>
    </row>
    <row r="334" spans="96:96" x14ac:dyDescent="0.2">
      <c r="CR334" s="18"/>
    </row>
    <row r="335" spans="96:96" x14ac:dyDescent="0.2">
      <c r="CR335" s="18"/>
    </row>
    <row r="336" spans="96:96" x14ac:dyDescent="0.2">
      <c r="CR336" s="18"/>
    </row>
    <row r="337" spans="96:96" x14ac:dyDescent="0.2">
      <c r="CR337" s="18"/>
    </row>
    <row r="338" spans="96:96" x14ac:dyDescent="0.2">
      <c r="CR338" s="18"/>
    </row>
    <row r="339" spans="96:96" x14ac:dyDescent="0.2">
      <c r="CR339" s="18"/>
    </row>
    <row r="340" spans="96:96" x14ac:dyDescent="0.2">
      <c r="CR340" s="18"/>
    </row>
    <row r="341" spans="96:96" x14ac:dyDescent="0.2">
      <c r="CR341" s="18"/>
    </row>
    <row r="342" spans="96:96" x14ac:dyDescent="0.2">
      <c r="CR342" s="18"/>
    </row>
    <row r="343" spans="96:96" x14ac:dyDescent="0.2">
      <c r="CR343" s="18"/>
    </row>
    <row r="344" spans="96:96" x14ac:dyDescent="0.2">
      <c r="CR344" s="18"/>
    </row>
    <row r="345" spans="96:96" x14ac:dyDescent="0.2">
      <c r="CR345" s="18"/>
    </row>
    <row r="346" spans="96:96" x14ac:dyDescent="0.2">
      <c r="CR346" s="18"/>
    </row>
    <row r="347" spans="96:96" x14ac:dyDescent="0.2">
      <c r="CR347" s="18"/>
    </row>
    <row r="348" spans="96:96" x14ac:dyDescent="0.2">
      <c r="CR348" s="18"/>
    </row>
    <row r="349" spans="96:96" x14ac:dyDescent="0.2">
      <c r="CR349" s="18"/>
    </row>
    <row r="350" spans="96:96" x14ac:dyDescent="0.2">
      <c r="CR350" s="18"/>
    </row>
    <row r="351" spans="96:96" x14ac:dyDescent="0.2">
      <c r="CR351" s="18"/>
    </row>
    <row r="352" spans="96:96" x14ac:dyDescent="0.2">
      <c r="CR352" s="18"/>
    </row>
    <row r="353" spans="96:96" x14ac:dyDescent="0.2">
      <c r="CR353" s="18"/>
    </row>
    <row r="354" spans="96:96" x14ac:dyDescent="0.2">
      <c r="CR354" s="18"/>
    </row>
    <row r="355" spans="96:96" x14ac:dyDescent="0.2">
      <c r="CR355" s="18"/>
    </row>
    <row r="356" spans="96:96" x14ac:dyDescent="0.2">
      <c r="CR356" s="18"/>
    </row>
    <row r="357" spans="96:96" x14ac:dyDescent="0.2">
      <c r="CR357" s="18"/>
    </row>
    <row r="358" spans="96:96" x14ac:dyDescent="0.2">
      <c r="CR358" s="18"/>
    </row>
    <row r="359" spans="96:96" x14ac:dyDescent="0.2">
      <c r="CR359" s="18"/>
    </row>
    <row r="360" spans="96:96" x14ac:dyDescent="0.2">
      <c r="CR360" s="18"/>
    </row>
    <row r="361" spans="96:96" x14ac:dyDescent="0.2">
      <c r="CR361" s="18"/>
    </row>
    <row r="362" spans="96:96" x14ac:dyDescent="0.2">
      <c r="CR362" s="18"/>
    </row>
    <row r="363" spans="96:96" x14ac:dyDescent="0.2">
      <c r="CR363" s="18"/>
    </row>
    <row r="364" spans="96:96" x14ac:dyDescent="0.2">
      <c r="CR364" s="18"/>
    </row>
    <row r="365" spans="96:96" x14ac:dyDescent="0.2">
      <c r="CR365" s="18"/>
    </row>
    <row r="366" spans="96:96" x14ac:dyDescent="0.2">
      <c r="CR366" s="18"/>
    </row>
    <row r="367" spans="96:96" x14ac:dyDescent="0.2">
      <c r="CR367" s="18"/>
    </row>
    <row r="368" spans="96:96" x14ac:dyDescent="0.2">
      <c r="CR368" s="18"/>
    </row>
    <row r="369" spans="96:96" x14ac:dyDescent="0.2">
      <c r="CR369" s="18"/>
    </row>
    <row r="370" spans="96:96" x14ac:dyDescent="0.2">
      <c r="CR370" s="18"/>
    </row>
    <row r="371" spans="96:96" x14ac:dyDescent="0.2">
      <c r="CR371" s="18"/>
    </row>
    <row r="372" spans="96:96" x14ac:dyDescent="0.2">
      <c r="CR372" s="18"/>
    </row>
    <row r="373" spans="96:96" x14ac:dyDescent="0.2">
      <c r="CR373" s="18"/>
    </row>
    <row r="374" spans="96:96" x14ac:dyDescent="0.2">
      <c r="CR374" s="18"/>
    </row>
    <row r="375" spans="96:96" x14ac:dyDescent="0.2">
      <c r="CR375" s="18"/>
    </row>
    <row r="376" spans="96:96" x14ac:dyDescent="0.2">
      <c r="CR376" s="18"/>
    </row>
    <row r="377" spans="96:96" x14ac:dyDescent="0.2">
      <c r="CR377" s="18"/>
    </row>
    <row r="378" spans="96:96" x14ac:dyDescent="0.2">
      <c r="CR378" s="18"/>
    </row>
    <row r="65250" spans="96:96" x14ac:dyDescent="0.2">
      <c r="CR65250" s="22" t="e">
        <f>#REF!</f>
        <v>#REF!</v>
      </c>
    </row>
    <row r="65251" spans="96:96" x14ac:dyDescent="0.2">
      <c r="CR65251" s="22" t="e">
        <f>#REF!</f>
        <v>#REF!</v>
      </c>
    </row>
    <row r="65252" spans="96:96" x14ac:dyDescent="0.2">
      <c r="CR65252" s="22" t="e">
        <f>#REF!</f>
        <v>#REF!</v>
      </c>
    </row>
    <row r="65253" spans="96:96" x14ac:dyDescent="0.2">
      <c r="CR65253" s="22" t="e">
        <f>#REF!</f>
        <v>#REF!</v>
      </c>
    </row>
    <row r="65254" spans="96:96" x14ac:dyDescent="0.2">
      <c r="CR65254" s="22" t="e">
        <f>#REF!</f>
        <v>#REF!</v>
      </c>
    </row>
  </sheetData>
  <sheetProtection password="CBEB" objects="1"/>
  <mergeCells count="250">
    <mergeCell ref="AA6:AB6"/>
    <mergeCell ref="J7:K7"/>
    <mergeCell ref="AA7:AB7"/>
    <mergeCell ref="A6:B6"/>
    <mergeCell ref="A7:B7"/>
    <mergeCell ref="J6:K6"/>
    <mergeCell ref="R6:S6"/>
    <mergeCell ref="R7:S7"/>
    <mergeCell ref="A1:AG1"/>
    <mergeCell ref="J4:K4"/>
    <mergeCell ref="AA4:AB4"/>
    <mergeCell ref="J5:K5"/>
    <mergeCell ref="AA5:AB5"/>
    <mergeCell ref="A3:P3"/>
    <mergeCell ref="L4:N4"/>
    <mergeCell ref="AC4:AE4"/>
    <mergeCell ref="A5:B5"/>
    <mergeCell ref="R5:S5"/>
    <mergeCell ref="AC10:AG10"/>
    <mergeCell ref="A11:B11"/>
    <mergeCell ref="R11:S11"/>
    <mergeCell ref="AC11:AG11"/>
    <mergeCell ref="F11:H11"/>
    <mergeCell ref="W11:Y11"/>
    <mergeCell ref="AA8:AB8"/>
    <mergeCell ref="I10:K10"/>
    <mergeCell ref="L10:P10"/>
    <mergeCell ref="Z10:AB10"/>
    <mergeCell ref="A8:B8"/>
    <mergeCell ref="J8:K8"/>
    <mergeCell ref="R8:S8"/>
    <mergeCell ref="L11:P11"/>
    <mergeCell ref="A13:B13"/>
    <mergeCell ref="R13:S13"/>
    <mergeCell ref="AC13:AG13"/>
    <mergeCell ref="F12:H12"/>
    <mergeCell ref="F13:H13"/>
    <mergeCell ref="L13:P13"/>
    <mergeCell ref="W13:Y13"/>
    <mergeCell ref="W12:Y12"/>
    <mergeCell ref="A12:B12"/>
    <mergeCell ref="R12:S12"/>
    <mergeCell ref="AC12:AG12"/>
    <mergeCell ref="L12:P12"/>
    <mergeCell ref="A16:B16"/>
    <mergeCell ref="R16:S16"/>
    <mergeCell ref="AC16:AG16"/>
    <mergeCell ref="A18:P18"/>
    <mergeCell ref="F16:H16"/>
    <mergeCell ref="L16:P16"/>
    <mergeCell ref="W16:Y16"/>
    <mergeCell ref="A14:B14"/>
    <mergeCell ref="R14:S14"/>
    <mergeCell ref="AC14:AG14"/>
    <mergeCell ref="A15:B15"/>
    <mergeCell ref="R15:S15"/>
    <mergeCell ref="AC15:AG15"/>
    <mergeCell ref="F14:H14"/>
    <mergeCell ref="F15:H15"/>
    <mergeCell ref="L14:P14"/>
    <mergeCell ref="L15:P15"/>
    <mergeCell ref="A26:B26"/>
    <mergeCell ref="R26:S26"/>
    <mergeCell ref="AC26:AG26"/>
    <mergeCell ref="L25:P25"/>
    <mergeCell ref="L26:P26"/>
    <mergeCell ref="W26:Y26"/>
    <mergeCell ref="F26:H26"/>
    <mergeCell ref="AA22:AB22"/>
    <mergeCell ref="J23:K23"/>
    <mergeCell ref="AA23:AB23"/>
    <mergeCell ref="J22:K22"/>
    <mergeCell ref="A20:B20"/>
    <mergeCell ref="A21:B21"/>
    <mergeCell ref="A22:B22"/>
    <mergeCell ref="A23:B23"/>
    <mergeCell ref="A36:B36"/>
    <mergeCell ref="A37:B37"/>
    <mergeCell ref="A38:B38"/>
    <mergeCell ref="A39:B39"/>
    <mergeCell ref="A51:B51"/>
    <mergeCell ref="A31:B31"/>
    <mergeCell ref="A43:B43"/>
    <mergeCell ref="A45:B45"/>
    <mergeCell ref="A47:B47"/>
    <mergeCell ref="A32:AG32"/>
    <mergeCell ref="A29:B29"/>
    <mergeCell ref="R29:S29"/>
    <mergeCell ref="AC29:AG29"/>
    <mergeCell ref="A30:B30"/>
    <mergeCell ref="R30:S30"/>
    <mergeCell ref="AC30:AG30"/>
    <mergeCell ref="L29:P29"/>
    <mergeCell ref="L30:P30"/>
    <mergeCell ref="W29:Y29"/>
    <mergeCell ref="W30:Y30"/>
    <mergeCell ref="AC41:AG41"/>
    <mergeCell ref="A42:B42"/>
    <mergeCell ref="R42:S42"/>
    <mergeCell ref="AC42:AG42"/>
    <mergeCell ref="L42:P42"/>
    <mergeCell ref="W42:Y42"/>
    <mergeCell ref="F42:H42"/>
    <mergeCell ref="I41:K41"/>
    <mergeCell ref="L41:P41"/>
    <mergeCell ref="Z41:AB41"/>
    <mergeCell ref="AC43:AG43"/>
    <mergeCell ref="A44:B44"/>
    <mergeCell ref="R44:S44"/>
    <mergeCell ref="AC44:AG44"/>
    <mergeCell ref="L43:P43"/>
    <mergeCell ref="L44:P44"/>
    <mergeCell ref="W43:Y43"/>
    <mergeCell ref="W44:Y44"/>
    <mergeCell ref="F44:H44"/>
    <mergeCell ref="R43:S43"/>
    <mergeCell ref="AC45:AG45"/>
    <mergeCell ref="A46:B46"/>
    <mergeCell ref="R46:S46"/>
    <mergeCell ref="AC46:AG46"/>
    <mergeCell ref="L45:P45"/>
    <mergeCell ref="L46:P46"/>
    <mergeCell ref="W45:Y45"/>
    <mergeCell ref="W46:Y46"/>
    <mergeCell ref="F45:H45"/>
    <mergeCell ref="F46:H46"/>
    <mergeCell ref="R45:S45"/>
    <mergeCell ref="AC56:AG56"/>
    <mergeCell ref="R47:S47"/>
    <mergeCell ref="AC47:AG47"/>
    <mergeCell ref="J50:K50"/>
    <mergeCell ref="AA50:AB50"/>
    <mergeCell ref="L47:P47"/>
    <mergeCell ref="W47:Y47"/>
    <mergeCell ref="L50:N50"/>
    <mergeCell ref="AC50:AE50"/>
    <mergeCell ref="I56:K56"/>
    <mergeCell ref="L56:P56"/>
    <mergeCell ref="AA53:AB53"/>
    <mergeCell ref="AA54:AB54"/>
    <mergeCell ref="AA51:AB51"/>
    <mergeCell ref="AA52:AB52"/>
    <mergeCell ref="Z56:AB56"/>
    <mergeCell ref="A52:B52"/>
    <mergeCell ref="J52:K52"/>
    <mergeCell ref="J54:K54"/>
    <mergeCell ref="A53:B53"/>
    <mergeCell ref="A54:B54"/>
    <mergeCell ref="R51:S51"/>
    <mergeCell ref="R52:S52"/>
    <mergeCell ref="R53:S53"/>
    <mergeCell ref="R54:S54"/>
    <mergeCell ref="J53:K53"/>
    <mergeCell ref="J51:K51"/>
    <mergeCell ref="A62:B62"/>
    <mergeCell ref="R62:S62"/>
    <mergeCell ref="R3:AG3"/>
    <mergeCell ref="R18:AG18"/>
    <mergeCell ref="A34:P34"/>
    <mergeCell ref="R34:AG34"/>
    <mergeCell ref="A49:P49"/>
    <mergeCell ref="R49:AG49"/>
    <mergeCell ref="I25:K25"/>
    <mergeCell ref="A60:B60"/>
    <mergeCell ref="R60:S60"/>
    <mergeCell ref="A61:B61"/>
    <mergeCell ref="R61:S61"/>
    <mergeCell ref="L60:P60"/>
    <mergeCell ref="L61:P61"/>
    <mergeCell ref="A58:B58"/>
    <mergeCell ref="R58:S58"/>
    <mergeCell ref="A59:B59"/>
    <mergeCell ref="R59:S59"/>
    <mergeCell ref="L58:P58"/>
    <mergeCell ref="L59:P59"/>
    <mergeCell ref="A57:B57"/>
    <mergeCell ref="R57:S57"/>
    <mergeCell ref="AC61:AG61"/>
    <mergeCell ref="AC62:AG62"/>
    <mergeCell ref="W57:Y57"/>
    <mergeCell ref="W58:Y58"/>
    <mergeCell ref="W59:Y59"/>
    <mergeCell ref="AC57:AG57"/>
    <mergeCell ref="AC58:AG58"/>
    <mergeCell ref="AC59:AG59"/>
    <mergeCell ref="AC60:AG60"/>
    <mergeCell ref="W60:Y60"/>
    <mergeCell ref="W62:Y62"/>
    <mergeCell ref="F57:H57"/>
    <mergeCell ref="F58:H58"/>
    <mergeCell ref="F59:H59"/>
    <mergeCell ref="F60:H60"/>
    <mergeCell ref="F61:H61"/>
    <mergeCell ref="F62:H62"/>
    <mergeCell ref="L62:P62"/>
    <mergeCell ref="W61:Y61"/>
    <mergeCell ref="L57:P57"/>
    <mergeCell ref="L19:N19"/>
    <mergeCell ref="J38:K38"/>
    <mergeCell ref="W14:Y14"/>
    <mergeCell ref="W15:Y15"/>
    <mergeCell ref="J37:K37"/>
    <mergeCell ref="R31:S31"/>
    <mergeCell ref="R37:S37"/>
    <mergeCell ref="R38:S38"/>
    <mergeCell ref="J36:K36"/>
    <mergeCell ref="L35:N35"/>
    <mergeCell ref="J35:K35"/>
    <mergeCell ref="L31:P31"/>
    <mergeCell ref="W31:Y31"/>
    <mergeCell ref="R27:S27"/>
    <mergeCell ref="R28:S28"/>
    <mergeCell ref="L27:P27"/>
    <mergeCell ref="L28:P28"/>
    <mergeCell ref="W27:Y27"/>
    <mergeCell ref="W28:Y28"/>
    <mergeCell ref="J20:K20"/>
    <mergeCell ref="J21:K21"/>
    <mergeCell ref="J19:K19"/>
    <mergeCell ref="AA36:AB36"/>
    <mergeCell ref="AA37:AB37"/>
    <mergeCell ref="AA38:AB38"/>
    <mergeCell ref="AA39:AB39"/>
    <mergeCell ref="AC19:AE19"/>
    <mergeCell ref="AC35:AE35"/>
    <mergeCell ref="R20:S20"/>
    <mergeCell ref="R21:S21"/>
    <mergeCell ref="R22:S22"/>
    <mergeCell ref="R39:S39"/>
    <mergeCell ref="AC31:AG31"/>
    <mergeCell ref="AA35:AB35"/>
    <mergeCell ref="AC27:AG27"/>
    <mergeCell ref="AC28:AG28"/>
    <mergeCell ref="Z25:AB25"/>
    <mergeCell ref="AC25:AG25"/>
    <mergeCell ref="AA19:AB19"/>
    <mergeCell ref="AA20:AB20"/>
    <mergeCell ref="AA21:AB21"/>
    <mergeCell ref="R23:S23"/>
    <mergeCell ref="R36:S36"/>
    <mergeCell ref="F47:H47"/>
    <mergeCell ref="A27:B27"/>
    <mergeCell ref="A28:B28"/>
    <mergeCell ref="F28:H28"/>
    <mergeCell ref="F29:H29"/>
    <mergeCell ref="F30:H30"/>
    <mergeCell ref="F43:H43"/>
    <mergeCell ref="F27:H27"/>
    <mergeCell ref="J39:K39"/>
    <mergeCell ref="F31:H31"/>
  </mergeCells>
  <phoneticPr fontId="0" type="noConversion"/>
  <pageMargins left="0.35433070866141736" right="0.19685039370078741" top="0.2" bottom="0.19685039370078741" header="0.2" footer="0"/>
  <pageSetup paperSize="9" scale="138" fitToWidth="2" fitToHeight="2" orientation="landscape" horizontalDpi="360" r:id="rId1"/>
  <headerFooter alignWithMargins="0"/>
  <rowBreaks count="1" manualBreakCount="1">
    <brk id="31" min="28" max="32" man="1"/>
  </rowBreaks>
  <colBreaks count="1" manualBreakCount="1">
    <brk id="42" max="60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65254"/>
  <sheetViews>
    <sheetView view="pageBreakPreview" zoomScale="145" zoomScaleNormal="75" zoomScaleSheetLayoutView="145" workbookViewId="0">
      <selection activeCell="L10" sqref="L10:P10"/>
    </sheetView>
  </sheetViews>
  <sheetFormatPr defaultRowHeight="12.75" x14ac:dyDescent="0.2"/>
  <cols>
    <col min="1" max="1" width="3" style="24" bestFit="1" customWidth="1"/>
    <col min="2" max="2" width="1" style="23" customWidth="1"/>
    <col min="3" max="3" width="1.5703125" style="23" customWidth="1"/>
    <col min="4" max="4" width="12.85546875" style="23" customWidth="1"/>
    <col min="5" max="5" width="1.42578125" style="23" bestFit="1" customWidth="1"/>
    <col min="6" max="6" width="6.7109375" style="23" customWidth="1"/>
    <col min="7" max="9" width="2.7109375" style="23" customWidth="1"/>
    <col min="10" max="10" width="0.85546875" style="23" customWidth="1"/>
    <col min="11" max="11" width="2.28515625" style="23" customWidth="1"/>
    <col min="12" max="12" width="2.7109375" style="23" customWidth="1"/>
    <col min="13" max="13" width="0.85546875" style="24" customWidth="1"/>
    <col min="14" max="16" width="2.7109375" style="24" customWidth="1"/>
    <col min="17" max="17" width="1.42578125" style="24" customWidth="1"/>
    <col min="18" max="18" width="3" style="24" bestFit="1" customWidth="1"/>
    <col min="19" max="19" width="1" style="24" customWidth="1"/>
    <col min="20" max="20" width="1.5703125" style="24" customWidth="1"/>
    <col min="21" max="21" width="12.85546875" style="24" customWidth="1"/>
    <col min="22" max="22" width="1.42578125" style="24" bestFit="1" customWidth="1"/>
    <col min="23" max="23" width="6.7109375" style="24" customWidth="1"/>
    <col min="24" max="26" width="2.7109375" style="24" customWidth="1"/>
    <col min="27" max="27" width="0.85546875" style="24" customWidth="1"/>
    <col min="28" max="28" width="2.28515625" style="24" customWidth="1"/>
    <col min="29" max="29" width="2.7109375" style="24" customWidth="1"/>
    <col min="30" max="30" width="0.85546875" style="24" customWidth="1"/>
    <col min="31" max="33" width="2.7109375" style="24" customWidth="1"/>
    <col min="34" max="34" width="3.7109375" style="65" hidden="1" customWidth="1"/>
    <col min="35" max="35" width="12.42578125" style="181" hidden="1" customWidth="1"/>
    <col min="36" max="36" width="3" style="180" hidden="1" customWidth="1"/>
    <col min="37" max="37" width="3" style="58" hidden="1" customWidth="1"/>
    <col min="38" max="38" width="9.42578125" style="58" hidden="1" customWidth="1"/>
    <col min="39" max="39" width="2.85546875" style="49" hidden="1" customWidth="1"/>
    <col min="40" max="40" width="4.28515625" style="16" hidden="1" customWidth="1"/>
    <col min="41" max="41" width="15.42578125" style="16" hidden="1" customWidth="1"/>
    <col min="42" max="42" width="9.140625" style="16" hidden="1" customWidth="1"/>
    <col min="43" max="43" width="7" style="16" hidden="1" customWidth="1"/>
    <col min="44" max="44" width="6.140625" style="16" hidden="1" customWidth="1"/>
    <col min="45" max="46" width="9.140625" style="16" hidden="1" customWidth="1"/>
    <col min="47" max="47" width="2.85546875" style="16" hidden="1" customWidth="1"/>
    <col min="48" max="48" width="2" style="16" hidden="1" customWidth="1"/>
    <col min="49" max="49" width="2.28515625" style="16" hidden="1" customWidth="1"/>
    <col min="50" max="50" width="2.140625" style="16" hidden="1" customWidth="1"/>
    <col min="51" max="51" width="2.28515625" style="16" hidden="1" customWidth="1"/>
    <col min="52" max="52" width="3.7109375" style="16" hidden="1" customWidth="1"/>
    <col min="53" max="53" width="6.28515625" style="16" hidden="1" customWidth="1"/>
    <col min="54" max="95" width="9.140625" style="16" hidden="1" customWidth="1"/>
    <col min="96" max="96" width="10.28515625" style="16" hidden="1" customWidth="1"/>
    <col min="97" max="130" width="9.140625" style="16" customWidth="1"/>
    <col min="131" max="16384" width="9.140625" style="16"/>
  </cols>
  <sheetData>
    <row r="1" spans="1:96" ht="33.75" x14ac:dyDescent="0.5">
      <c r="A1" s="521" t="s">
        <v>229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63"/>
      <c r="AJ1" s="237"/>
      <c r="AK1" s="60"/>
      <c r="AL1" s="60"/>
      <c r="AM1" s="53"/>
      <c r="AN1" s="17"/>
      <c r="AO1" s="17"/>
      <c r="AP1" s="17"/>
      <c r="AQ1" s="17"/>
    </row>
    <row r="2" spans="1:96" ht="13.5" customHeight="1" x14ac:dyDescent="0.2">
      <c r="A2" s="262"/>
      <c r="B2" s="260"/>
      <c r="C2" s="260"/>
      <c r="D2" s="260"/>
      <c r="E2" s="260"/>
      <c r="F2" s="260"/>
      <c r="G2" s="260"/>
      <c r="H2" s="271"/>
      <c r="I2" s="260"/>
      <c r="J2" s="260"/>
      <c r="K2" s="260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353"/>
      <c r="Z2" s="262"/>
      <c r="AA2" s="262"/>
      <c r="AB2" s="262"/>
      <c r="AC2" s="262"/>
      <c r="AD2" s="262"/>
      <c r="AE2" s="262"/>
      <c r="AF2" s="262"/>
      <c r="AG2" s="262"/>
    </row>
    <row r="3" spans="1:96" ht="18.75" customHeight="1" thickBot="1" x14ac:dyDescent="0.3">
      <c r="A3" s="541" t="s">
        <v>230</v>
      </c>
      <c r="B3" s="542"/>
      <c r="C3" s="542"/>
      <c r="D3" s="542"/>
      <c r="E3" s="542"/>
      <c r="F3" s="542"/>
      <c r="G3" s="542"/>
      <c r="H3" s="542"/>
      <c r="I3" s="542"/>
      <c r="J3" s="542"/>
      <c r="K3" s="542"/>
      <c r="L3" s="524"/>
      <c r="M3" s="542"/>
      <c r="N3" s="542"/>
      <c r="O3" s="542"/>
      <c r="P3" s="543"/>
      <c r="R3" s="523" t="s">
        <v>231</v>
      </c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5"/>
      <c r="AH3" s="63"/>
      <c r="AI3" s="238"/>
      <c r="AM3" s="48"/>
      <c r="AO3" s="16" t="s">
        <v>97</v>
      </c>
      <c r="AP3" s="16" t="s">
        <v>98</v>
      </c>
      <c r="AS3" s="16" t="s">
        <v>99</v>
      </c>
      <c r="BB3" s="16" t="s">
        <v>100</v>
      </c>
      <c r="BD3" s="16" t="s">
        <v>101</v>
      </c>
      <c r="BF3" s="16" t="s">
        <v>102</v>
      </c>
      <c r="BI3" s="16" t="s">
        <v>103</v>
      </c>
      <c r="BL3" s="16" t="s">
        <v>104</v>
      </c>
      <c r="BO3" s="16" t="s">
        <v>105</v>
      </c>
      <c r="BS3" s="16" t="s">
        <v>106</v>
      </c>
      <c r="BW3" s="16" t="s">
        <v>107</v>
      </c>
      <c r="CA3" s="16" t="s">
        <v>108</v>
      </c>
    </row>
    <row r="4" spans="1:96" ht="12.95" customHeight="1" x14ac:dyDescent="0.2">
      <c r="A4" s="28"/>
      <c r="B4" s="24"/>
      <c r="C4" s="24"/>
      <c r="D4" s="24"/>
      <c r="E4" s="24"/>
      <c r="F4" s="24"/>
      <c r="G4" s="338" t="s">
        <v>109</v>
      </c>
      <c r="H4" s="338" t="s">
        <v>110</v>
      </c>
      <c r="I4" s="338" t="s">
        <v>111</v>
      </c>
      <c r="J4" s="522" t="s">
        <v>112</v>
      </c>
      <c r="K4" s="522"/>
      <c r="L4" s="522" t="s">
        <v>113</v>
      </c>
      <c r="M4" s="522"/>
      <c r="N4" s="522"/>
      <c r="O4" s="338" t="str">
        <f>T("+/-")</f>
        <v>+/-</v>
      </c>
      <c r="P4" s="245" t="s">
        <v>114</v>
      </c>
      <c r="R4" s="28"/>
      <c r="X4" s="338" t="s">
        <v>109</v>
      </c>
      <c r="Y4" s="338" t="s">
        <v>110</v>
      </c>
      <c r="Z4" s="338" t="s">
        <v>111</v>
      </c>
      <c r="AA4" s="522" t="s">
        <v>112</v>
      </c>
      <c r="AB4" s="522"/>
      <c r="AC4" s="522" t="s">
        <v>113</v>
      </c>
      <c r="AD4" s="522"/>
      <c r="AE4" s="522"/>
      <c r="AF4" s="338" t="str">
        <f>T("+/-")</f>
        <v>+/-</v>
      </c>
      <c r="AG4" s="245" t="s">
        <v>114</v>
      </c>
      <c r="AI4" s="66"/>
      <c r="AJ4" s="67"/>
      <c r="AK4" s="66"/>
      <c r="AL4" s="66"/>
      <c r="AM4" s="47"/>
      <c r="AN4" s="37"/>
    </row>
    <row r="5" spans="1:96" ht="12.95" customHeight="1" x14ac:dyDescent="0.2">
      <c r="A5" s="516" t="s">
        <v>220</v>
      </c>
      <c r="B5" s="517"/>
      <c r="C5" s="118" t="e">
        <f>CH53</f>
        <v>#REF!</v>
      </c>
      <c r="D5" s="118"/>
      <c r="E5" s="118"/>
      <c r="F5" s="118"/>
      <c r="G5" s="335" t="e">
        <f t="shared" ref="G5:H8" si="0">CI53</f>
        <v>#REF!</v>
      </c>
      <c r="H5" s="335" t="e">
        <f t="shared" si="0"/>
        <v>#REF!</v>
      </c>
      <c r="I5" s="334" t="e">
        <f>CL53</f>
        <v>#REF!</v>
      </c>
      <c r="J5" s="514" t="e">
        <f>CK53</f>
        <v>#REF!</v>
      </c>
      <c r="K5" s="514"/>
      <c r="L5" s="218" t="e">
        <f>CM53</f>
        <v>#REF!</v>
      </c>
      <c r="M5" s="334" t="s">
        <v>16</v>
      </c>
      <c r="N5" s="326" t="e">
        <f t="shared" ref="N5:O8" si="1">CN53</f>
        <v>#REF!</v>
      </c>
      <c r="O5" s="335" t="e">
        <f t="shared" si="1"/>
        <v>#REF!</v>
      </c>
      <c r="P5" s="306" t="e">
        <f>SUM(H5*3+I5*1)</f>
        <v>#REF!</v>
      </c>
      <c r="Q5" s="167"/>
      <c r="R5" s="516" t="s">
        <v>220</v>
      </c>
      <c r="S5" s="517"/>
      <c r="T5" s="118" t="e">
        <f>CH60</f>
        <v>#REF!</v>
      </c>
      <c r="U5" s="118"/>
      <c r="V5" s="118"/>
      <c r="W5" s="118"/>
      <c r="X5" s="335" t="e">
        <f t="shared" ref="X5:Y8" si="2">CI60</f>
        <v>#REF!</v>
      </c>
      <c r="Y5" s="335" t="e">
        <f t="shared" si="2"/>
        <v>#REF!</v>
      </c>
      <c r="Z5" s="334" t="e">
        <f>CL60</f>
        <v>#REF!</v>
      </c>
      <c r="AA5" s="514" t="e">
        <f>CK60</f>
        <v>#REF!</v>
      </c>
      <c r="AB5" s="514"/>
      <c r="AC5" s="218" t="e">
        <f>CM60</f>
        <v>#REF!</v>
      </c>
      <c r="AD5" s="334" t="s">
        <v>16</v>
      </c>
      <c r="AE5" s="326" t="e">
        <f t="shared" ref="AE5:AF8" si="3">CN60</f>
        <v>#REF!</v>
      </c>
      <c r="AF5" s="335" t="e">
        <f t="shared" si="3"/>
        <v>#REF!</v>
      </c>
      <c r="AG5" s="306" t="e">
        <f>SUM(Y5*3+Z5*1)</f>
        <v>#REF!</v>
      </c>
      <c r="AH5" s="63"/>
      <c r="AI5" s="68"/>
      <c r="AJ5" s="67"/>
      <c r="AK5" s="68"/>
      <c r="AL5" s="68"/>
      <c r="AM5" s="48"/>
      <c r="AN5" s="38"/>
      <c r="CR5" s="19"/>
    </row>
    <row r="6" spans="1:96" ht="12.95" customHeight="1" thickBot="1" x14ac:dyDescent="0.25">
      <c r="A6" s="516" t="s">
        <v>221</v>
      </c>
      <c r="B6" s="517"/>
      <c r="C6" s="118" t="e">
        <f>CH54</f>
        <v>#REF!</v>
      </c>
      <c r="D6" s="118"/>
      <c r="E6" s="118"/>
      <c r="F6" s="118"/>
      <c r="G6" s="335" t="e">
        <f t="shared" si="0"/>
        <v>#REF!</v>
      </c>
      <c r="H6" s="335" t="e">
        <f t="shared" si="0"/>
        <v>#REF!</v>
      </c>
      <c r="I6" s="334" t="e">
        <f>CL54</f>
        <v>#REF!</v>
      </c>
      <c r="J6" s="514" t="e">
        <f>CK54</f>
        <v>#REF!</v>
      </c>
      <c r="K6" s="514"/>
      <c r="L6" s="218" t="e">
        <f>CM54</f>
        <v>#REF!</v>
      </c>
      <c r="M6" s="334" t="s">
        <v>16</v>
      </c>
      <c r="N6" s="326" t="e">
        <f t="shared" si="1"/>
        <v>#REF!</v>
      </c>
      <c r="O6" s="335" t="e">
        <f t="shared" si="1"/>
        <v>#REF!</v>
      </c>
      <c r="P6" s="306" t="e">
        <f>SUM(H6*3+I6*1)</f>
        <v>#REF!</v>
      </c>
      <c r="Q6" s="167"/>
      <c r="R6" s="516" t="s">
        <v>221</v>
      </c>
      <c r="S6" s="517"/>
      <c r="T6" s="118" t="e">
        <f>CH61</f>
        <v>#REF!</v>
      </c>
      <c r="U6" s="118"/>
      <c r="V6" s="118"/>
      <c r="W6" s="118"/>
      <c r="X6" s="335" t="e">
        <f t="shared" si="2"/>
        <v>#REF!</v>
      </c>
      <c r="Y6" s="335" t="e">
        <f t="shared" si="2"/>
        <v>#REF!</v>
      </c>
      <c r="Z6" s="334" t="e">
        <f>CL61</f>
        <v>#REF!</v>
      </c>
      <c r="AA6" s="514" t="e">
        <f>CK61</f>
        <v>#REF!</v>
      </c>
      <c r="AB6" s="514"/>
      <c r="AC6" s="218" t="e">
        <f>CM61</f>
        <v>#REF!</v>
      </c>
      <c r="AD6" s="334" t="s">
        <v>16</v>
      </c>
      <c r="AE6" s="326" t="e">
        <f t="shared" si="3"/>
        <v>#REF!</v>
      </c>
      <c r="AF6" s="335" t="e">
        <f t="shared" si="3"/>
        <v>#REF!</v>
      </c>
      <c r="AG6" s="306" t="e">
        <f>SUM(Y6*3+Z6*1)</f>
        <v>#REF!</v>
      </c>
      <c r="AS6" s="16" t="s">
        <v>117</v>
      </c>
      <c r="CR6" s="19"/>
    </row>
    <row r="7" spans="1:96" ht="12.95" customHeight="1" thickBot="1" x14ac:dyDescent="0.25">
      <c r="A7" s="516" t="s">
        <v>222</v>
      </c>
      <c r="B7" s="517"/>
      <c r="C7" s="118" t="e">
        <f>CH55</f>
        <v>#REF!</v>
      </c>
      <c r="D7" s="118"/>
      <c r="E7" s="118"/>
      <c r="F7" s="118"/>
      <c r="G7" s="335" t="e">
        <f t="shared" si="0"/>
        <v>#REF!</v>
      </c>
      <c r="H7" s="335" t="e">
        <f t="shared" si="0"/>
        <v>#REF!</v>
      </c>
      <c r="I7" s="334" t="e">
        <f>CL55</f>
        <v>#REF!</v>
      </c>
      <c r="J7" s="514" t="e">
        <f>CK55</f>
        <v>#REF!</v>
      </c>
      <c r="K7" s="514"/>
      <c r="L7" s="218" t="e">
        <f>CM55</f>
        <v>#REF!</v>
      </c>
      <c r="M7" s="334" t="s">
        <v>16</v>
      </c>
      <c r="N7" s="326" t="e">
        <f t="shared" si="1"/>
        <v>#REF!</v>
      </c>
      <c r="O7" s="335" t="e">
        <f t="shared" si="1"/>
        <v>#REF!</v>
      </c>
      <c r="P7" s="306" t="e">
        <f>SUM(H7*3+I7*1)</f>
        <v>#REF!</v>
      </c>
      <c r="Q7" s="167"/>
      <c r="R7" s="516" t="s">
        <v>222</v>
      </c>
      <c r="S7" s="517"/>
      <c r="T7" s="118" t="e">
        <f>CH62</f>
        <v>#REF!</v>
      </c>
      <c r="U7" s="118"/>
      <c r="V7" s="118"/>
      <c r="W7" s="118"/>
      <c r="X7" s="335" t="e">
        <f t="shared" si="2"/>
        <v>#REF!</v>
      </c>
      <c r="Y7" s="335" t="e">
        <f t="shared" si="2"/>
        <v>#REF!</v>
      </c>
      <c r="Z7" s="334" t="e">
        <f>CL62</f>
        <v>#REF!</v>
      </c>
      <c r="AA7" s="514" t="e">
        <f>CK62</f>
        <v>#REF!</v>
      </c>
      <c r="AB7" s="514"/>
      <c r="AC7" s="218" t="e">
        <f>CM62</f>
        <v>#REF!</v>
      </c>
      <c r="AD7" s="334" t="s">
        <v>16</v>
      </c>
      <c r="AE7" s="326" t="e">
        <f t="shared" si="3"/>
        <v>#REF!</v>
      </c>
      <c r="AF7" s="335" t="e">
        <f t="shared" si="3"/>
        <v>#REF!</v>
      </c>
      <c r="AG7" s="306" t="e">
        <f>SUM(Y7*3+Z7*1)</f>
        <v>#REF!</v>
      </c>
      <c r="AH7" s="69" t="s">
        <v>119</v>
      </c>
      <c r="AI7" s="70" t="s">
        <v>120</v>
      </c>
      <c r="AJ7" s="70" t="e">
        <f>#REF!</f>
        <v>#REF!</v>
      </c>
      <c r="AK7" s="232" t="e">
        <f>#REF!</f>
        <v>#REF!</v>
      </c>
      <c r="AL7" s="73" t="s">
        <v>121</v>
      </c>
      <c r="AM7" s="54" t="s">
        <v>122</v>
      </c>
      <c r="AN7" s="44" t="s">
        <v>123</v>
      </c>
      <c r="AO7" s="45" t="e">
        <f t="shared" ref="AO7:AO55" si="4">IF(AJ7&lt;&gt;"",IF(AJ7&gt;AK7,AI7,IF(AK7&gt;AJ7,AL7,"Draw")),"")</f>
        <v>#REF!</v>
      </c>
      <c r="AP7" s="45" t="e">
        <f t="shared" ref="AP7:AP55" si="5">IF(AJ7&lt;&gt;"",IF(AJ7&lt;AK7,AI7,IF(AK7&lt;AJ7,AL7,"Draw")),"")</f>
        <v>#REF!</v>
      </c>
      <c r="AQ7" s="45"/>
      <c r="AT7" s="16" t="s">
        <v>124</v>
      </c>
      <c r="AU7" s="16" t="s">
        <v>110</v>
      </c>
      <c r="AV7" s="16" t="s">
        <v>125</v>
      </c>
      <c r="AW7" s="16" t="s">
        <v>126</v>
      </c>
      <c r="AX7" s="16" t="s">
        <v>127</v>
      </c>
      <c r="AY7" s="16" t="s">
        <v>123</v>
      </c>
      <c r="AZ7" s="16" t="s">
        <v>128</v>
      </c>
      <c r="BA7" s="16" t="s">
        <v>129</v>
      </c>
      <c r="BB7" s="16" t="s">
        <v>130</v>
      </c>
      <c r="BC7" s="20" t="s">
        <v>129</v>
      </c>
      <c r="BD7" s="16" t="s">
        <v>130</v>
      </c>
      <c r="BE7" s="20" t="s">
        <v>129</v>
      </c>
      <c r="BF7" s="16" t="s">
        <v>130</v>
      </c>
      <c r="BG7" s="20" t="s">
        <v>129</v>
      </c>
      <c r="BH7" s="20" t="s">
        <v>128</v>
      </c>
      <c r="BI7" s="16" t="s">
        <v>130</v>
      </c>
      <c r="BJ7" s="16" t="s">
        <v>129</v>
      </c>
      <c r="BK7" s="20" t="s">
        <v>128</v>
      </c>
      <c r="BL7" s="16" t="s">
        <v>130</v>
      </c>
      <c r="BM7" s="16" t="s">
        <v>129</v>
      </c>
      <c r="BN7" s="20" t="s">
        <v>128</v>
      </c>
      <c r="BO7" s="16" t="s">
        <v>130</v>
      </c>
      <c r="BP7" s="16" t="s">
        <v>129</v>
      </c>
      <c r="BQ7" s="20" t="s">
        <v>128</v>
      </c>
      <c r="BR7" s="20" t="s">
        <v>127</v>
      </c>
      <c r="BS7" s="16" t="s">
        <v>130</v>
      </c>
      <c r="BT7" s="16" t="s">
        <v>129</v>
      </c>
      <c r="BU7" s="20" t="s">
        <v>128</v>
      </c>
      <c r="BV7" s="20" t="s">
        <v>127</v>
      </c>
      <c r="BW7" s="16" t="s">
        <v>130</v>
      </c>
      <c r="BX7" s="16" t="s">
        <v>129</v>
      </c>
      <c r="BY7" s="20" t="s">
        <v>128</v>
      </c>
      <c r="BZ7" s="20" t="s">
        <v>127</v>
      </c>
      <c r="CA7" s="16" t="s">
        <v>130</v>
      </c>
      <c r="CB7" s="20" t="s">
        <v>129</v>
      </c>
      <c r="CC7" s="20" t="s">
        <v>128</v>
      </c>
      <c r="CD7" s="20" t="s">
        <v>127</v>
      </c>
      <c r="CI7" s="20" t="s">
        <v>131</v>
      </c>
      <c r="CJ7" s="20" t="s">
        <v>110</v>
      </c>
      <c r="CK7" s="20" t="s">
        <v>125</v>
      </c>
      <c r="CL7" s="20" t="s">
        <v>126</v>
      </c>
      <c r="CM7" s="20" t="s">
        <v>127</v>
      </c>
      <c r="CN7" s="20" t="s">
        <v>123</v>
      </c>
      <c r="CO7" s="20" t="s">
        <v>128</v>
      </c>
      <c r="CP7" s="20" t="s">
        <v>129</v>
      </c>
      <c r="CR7" s="21" t="e">
        <f>#REF!</f>
        <v>#REF!</v>
      </c>
    </row>
    <row r="8" spans="1:96" ht="12.95" customHeight="1" thickBot="1" x14ac:dyDescent="0.25">
      <c r="A8" s="516" t="s">
        <v>223</v>
      </c>
      <c r="B8" s="517"/>
      <c r="C8" s="118" t="e">
        <f>CH56</f>
        <v>#REF!</v>
      </c>
      <c r="D8" s="118"/>
      <c r="E8" s="118"/>
      <c r="F8" s="118"/>
      <c r="G8" s="335" t="e">
        <f t="shared" si="0"/>
        <v>#REF!</v>
      </c>
      <c r="H8" s="335" t="e">
        <f t="shared" si="0"/>
        <v>#REF!</v>
      </c>
      <c r="I8" s="334" t="e">
        <f>CL56</f>
        <v>#REF!</v>
      </c>
      <c r="J8" s="514" t="e">
        <f>CK56</f>
        <v>#REF!</v>
      </c>
      <c r="K8" s="514"/>
      <c r="L8" s="218" t="e">
        <f>CM56</f>
        <v>#REF!</v>
      </c>
      <c r="M8" s="334" t="s">
        <v>16</v>
      </c>
      <c r="N8" s="326" t="e">
        <f t="shared" si="1"/>
        <v>#REF!</v>
      </c>
      <c r="O8" s="335" t="e">
        <f t="shared" si="1"/>
        <v>#REF!</v>
      </c>
      <c r="P8" s="306" t="e">
        <f>SUM(H8*3+I8*1)</f>
        <v>#REF!</v>
      </c>
      <c r="Q8" s="167"/>
      <c r="R8" s="516" t="s">
        <v>223</v>
      </c>
      <c r="S8" s="517"/>
      <c r="T8" s="118" t="e">
        <f>CH63</f>
        <v>#REF!</v>
      </c>
      <c r="U8" s="118"/>
      <c r="V8" s="118"/>
      <c r="W8" s="118"/>
      <c r="X8" s="335" t="e">
        <f t="shared" si="2"/>
        <v>#REF!</v>
      </c>
      <c r="Y8" s="335" t="e">
        <f t="shared" si="2"/>
        <v>#REF!</v>
      </c>
      <c r="Z8" s="334" t="e">
        <f>CL63</f>
        <v>#REF!</v>
      </c>
      <c r="AA8" s="514" t="e">
        <f>CK63</f>
        <v>#REF!</v>
      </c>
      <c r="AB8" s="514"/>
      <c r="AC8" s="218" t="e">
        <f>CM63</f>
        <v>#REF!</v>
      </c>
      <c r="AD8" s="334" t="s">
        <v>16</v>
      </c>
      <c r="AE8" s="326" t="e">
        <f t="shared" si="3"/>
        <v>#REF!</v>
      </c>
      <c r="AF8" s="335" t="e">
        <f t="shared" si="3"/>
        <v>#REF!</v>
      </c>
      <c r="AG8" s="306" t="e">
        <f>SUM(Y8*3+Z8*1)</f>
        <v>#REF!</v>
      </c>
      <c r="AH8" s="70" t="s">
        <v>133</v>
      </c>
      <c r="AI8" s="70" t="s">
        <v>134</v>
      </c>
      <c r="AJ8" s="70">
        <f>I43</f>
        <v>0</v>
      </c>
      <c r="AK8" s="232">
        <f>K43</f>
        <v>0</v>
      </c>
      <c r="AL8" s="73" t="s">
        <v>135</v>
      </c>
      <c r="AM8" s="51" t="s">
        <v>136</v>
      </c>
      <c r="AN8" s="44" t="s">
        <v>137</v>
      </c>
      <c r="AO8" s="45" t="str">
        <f t="shared" si="4"/>
        <v>Draw</v>
      </c>
      <c r="AP8" s="45" t="str">
        <f t="shared" si="5"/>
        <v>Draw</v>
      </c>
      <c r="AQ8" s="45"/>
      <c r="AS8" s="16" t="str">
        <f>EINDRONDE!D8</f>
        <v>De Torpedo's</v>
      </c>
      <c r="AT8" s="16">
        <f>COUNT(France_Played)</f>
        <v>0</v>
      </c>
      <c r="AU8" s="16">
        <f>COUNTIF(Groupstage_Winners,"France")</f>
        <v>0</v>
      </c>
      <c r="AV8" s="16">
        <f>COUNTIF(Groupstage_Losers,"France")</f>
        <v>0</v>
      </c>
      <c r="AW8" s="16">
        <f>AT8-(AU8+AV8)</f>
        <v>0</v>
      </c>
      <c r="AX8" s="16" t="e">
        <f>SUM(France_Played)</f>
        <v>#REF!</v>
      </c>
      <c r="AY8" s="16" t="e">
        <f>SUM(France_Against)</f>
        <v>#REF!</v>
      </c>
      <c r="AZ8" s="16" t="e">
        <f>AX8-AY8</f>
        <v>#REF!</v>
      </c>
      <c r="BA8" s="16">
        <f>SUM((AU8*3)+(AW8*1))</f>
        <v>0</v>
      </c>
      <c r="BB8" s="16" t="str">
        <f>IF($BA8&gt;=$BA9,$AS8,$AS9)</f>
        <v>De Torpedo's</v>
      </c>
      <c r="BC8" s="16">
        <f>VLOOKUP($BB8,$AS8:$BA11,9,FALSE)</f>
        <v>0</v>
      </c>
      <c r="BD8" s="16" t="str">
        <f>IF($BC8&gt;=$BC10,$BB8,$BB10)</f>
        <v>De Torpedo's</v>
      </c>
      <c r="BE8" s="16">
        <f>VLOOKUP($BD8,$AS8:$BA11,9,FALSE)</f>
        <v>0</v>
      </c>
      <c r="BF8" s="16" t="str">
        <f>IF($BE8&gt;=$BE11,$BD8,$BD11)</f>
        <v>De Torpedo's</v>
      </c>
      <c r="BG8" s="16">
        <f>VLOOKUP($BF8,$AS8:$BA11,9,FALSE)</f>
        <v>0</v>
      </c>
      <c r="BH8" s="16" t="e">
        <f>VLOOKUP($BF8,$AS8:$BA11,8,FALSE)</f>
        <v>#REF!</v>
      </c>
      <c r="BI8" s="16" t="e">
        <f>IF(AND($BG8=$BG9,$BH9&gt;$BH8),$BF9,$BF8)</f>
        <v>#REF!</v>
      </c>
      <c r="BJ8" s="16" t="e">
        <f>VLOOKUP($BI8,$AS8:$BA11,9,FALSE)</f>
        <v>#REF!</v>
      </c>
      <c r="BK8" s="16" t="e">
        <f>VLOOKUP($BI8,$AS8:$BA11,8,FALSE)</f>
        <v>#REF!</v>
      </c>
      <c r="BL8" s="16" t="e">
        <f>IF(AND($BJ8=$BJ10,$BK10&gt;$BK8),$BI10,$BI8)</f>
        <v>#REF!</v>
      </c>
      <c r="BM8" s="16" t="e">
        <f>VLOOKUP($BL8,$AS8:$BA11,9,FALSE)</f>
        <v>#REF!</v>
      </c>
      <c r="BN8" s="16" t="e">
        <f>VLOOKUP($BL8,$AS8:$BA11,8,FALSE)</f>
        <v>#REF!</v>
      </c>
      <c r="BO8" s="16" t="e">
        <f>IF(AND($BM8=$BM11,$BN11&gt;$BN8),$BL11,$BL8)</f>
        <v>#REF!</v>
      </c>
      <c r="BP8" s="16" t="e">
        <f>VLOOKUP($BO8,$AS8:$BA11,9,FALSE)</f>
        <v>#REF!</v>
      </c>
      <c r="BQ8" s="16" t="e">
        <f>VLOOKUP($BO8,$AS8:$BA11,8,FALSE)</f>
        <v>#REF!</v>
      </c>
      <c r="BR8" s="16" t="e">
        <f>VLOOKUP($BO8,$AS8:$BA11,6,FALSE)</f>
        <v>#REF!</v>
      </c>
      <c r="BS8" s="16" t="e">
        <f>IF(AND($BP8=$BP9,$BQ8=$BQ9,$BR9&gt;$BR8),$BO9,$BO8)</f>
        <v>#REF!</v>
      </c>
      <c r="BT8" s="16" t="e">
        <f>VLOOKUP($BS8,$AS8:$BA11,9,FALSE)</f>
        <v>#REF!</v>
      </c>
      <c r="BU8" s="16" t="e">
        <f>VLOOKUP($BS8,$AS8:$BA11,8,FALSE)</f>
        <v>#REF!</v>
      </c>
      <c r="BV8" s="16" t="e">
        <f>VLOOKUP($BS8,$AS8:$BA11,6,FALSE)</f>
        <v>#REF!</v>
      </c>
      <c r="BW8" s="16" t="e">
        <f>IF(AND($BT8=$BT10,$BU8=$BU10,$BV10&gt;$BV8),$BS10,$BS8)</f>
        <v>#REF!</v>
      </c>
      <c r="BX8" s="16" t="e">
        <f>VLOOKUP($BW8,$AS8:$BA11,9,FALSE)</f>
        <v>#REF!</v>
      </c>
      <c r="BY8" s="16" t="e">
        <f>VLOOKUP($BW8,$AS8:$BA11,8,FALSE)</f>
        <v>#REF!</v>
      </c>
      <c r="BZ8" s="16" t="e">
        <f>VLOOKUP($BW8,$AS8:$BA11,6,FALSE)</f>
        <v>#REF!</v>
      </c>
      <c r="CA8" s="16" t="e">
        <f>IF(AND($BX8=$BX11,$BY8=$BY11,$BZ11&gt;$BZ8),$BW11,$BW8)</f>
        <v>#REF!</v>
      </c>
      <c r="CB8" s="16" t="e">
        <f>VLOOKUP($CA8,$AS8:$BA11,9,FALSE)</f>
        <v>#REF!</v>
      </c>
      <c r="CC8" s="16" t="e">
        <f>VLOOKUP($CA8,$AS8:$BA11,8,FALSE)</f>
        <v>#REF!</v>
      </c>
      <c r="CD8" s="16" t="e">
        <f>VLOOKUP($CA8,$AS8:$BA11,6,FALSE)</f>
        <v>#REF!</v>
      </c>
      <c r="CH8" s="16" t="e">
        <f>CA8</f>
        <v>#REF!</v>
      </c>
      <c r="CI8" s="16" t="e">
        <f>VLOOKUP($CH8,$AS8:$BA11,2,FALSE)</f>
        <v>#REF!</v>
      </c>
      <c r="CJ8" s="16" t="e">
        <f>VLOOKUP($CH8,$AS8:$BA11,3,FALSE)</f>
        <v>#REF!</v>
      </c>
      <c r="CK8" s="16" t="e">
        <f>VLOOKUP($CH8,$AS8:$BA11,4,FALSE)</f>
        <v>#REF!</v>
      </c>
      <c r="CL8" s="16" t="e">
        <f>VLOOKUP($CH8,$AS8:$BA11,5,FALSE)</f>
        <v>#REF!</v>
      </c>
      <c r="CM8" s="16" t="e">
        <f>VLOOKUP($CH8,$AS8:$BA11,6,FALSE)</f>
        <v>#REF!</v>
      </c>
      <c r="CN8" s="16" t="e">
        <f>VLOOKUP($CH8,$AS8:$BA11,7,FALSE)</f>
        <v>#REF!</v>
      </c>
      <c r="CO8" s="16" t="e">
        <f>VLOOKUP($CH8,$AS8:$BA11,8,FALSE)</f>
        <v>#REF!</v>
      </c>
      <c r="CP8" s="16" t="e">
        <f>VLOOKUP($CH8,$AS8:$BA11,9,FALSE)</f>
        <v>#REF!</v>
      </c>
      <c r="CR8" s="21" t="e">
        <f>#REF!</f>
        <v>#REF!</v>
      </c>
    </row>
    <row r="9" spans="1:96" ht="7.5" customHeight="1" thickBot="1" x14ac:dyDescent="0.25">
      <c r="A9" s="28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P9" s="32"/>
      <c r="R9" s="28"/>
      <c r="AG9" s="32"/>
      <c r="AH9" s="70" t="s">
        <v>138</v>
      </c>
      <c r="AI9" s="70" t="s">
        <v>139</v>
      </c>
      <c r="AJ9" s="70" t="e">
        <f>#REF!</f>
        <v>#REF!</v>
      </c>
      <c r="AK9" s="232" t="e">
        <f>#REF!</f>
        <v>#REF!</v>
      </c>
      <c r="AL9" s="73" t="s">
        <v>140</v>
      </c>
      <c r="AM9" s="55" t="s">
        <v>141</v>
      </c>
      <c r="AN9" s="44" t="s">
        <v>123</v>
      </c>
      <c r="AO9" s="45" t="e">
        <f t="shared" si="4"/>
        <v>#REF!</v>
      </c>
      <c r="AP9" s="45" t="e">
        <f t="shared" si="5"/>
        <v>#REF!</v>
      </c>
      <c r="AS9" s="16" t="str">
        <f>EINDRONDE!D9</f>
        <v>De Doofpot</v>
      </c>
      <c r="AT9" s="16">
        <f>COUNT(Senegal_Played)</f>
        <v>0</v>
      </c>
      <c r="AU9" s="16">
        <f>COUNTIF(Groupstage_Winners,"Senegal")</f>
        <v>0</v>
      </c>
      <c r="AV9" s="16">
        <f>COUNTIF(Groupstage_Losers,"Senegal")</f>
        <v>0</v>
      </c>
      <c r="AW9" s="16">
        <f>AT9-(AU9+AV9)</f>
        <v>0</v>
      </c>
      <c r="AX9" s="16" t="e">
        <f>SUM(Senegal_Played)</f>
        <v>#REF!</v>
      </c>
      <c r="AY9" s="16" t="e">
        <f>SUM(Senegal_Against)</f>
        <v>#REF!</v>
      </c>
      <c r="AZ9" s="16" t="e">
        <f>AX9-AY9</f>
        <v>#REF!</v>
      </c>
      <c r="BA9" s="16">
        <f t="shared" ref="BA9:BA11" si="6">SUM((AU9*3)+(AW9*1))</f>
        <v>0</v>
      </c>
      <c r="BB9" s="16" t="str">
        <f>IF($BA9&lt;=$BA8,$AS9,$AS8)</f>
        <v>De Doofpot</v>
      </c>
      <c r="BC9" s="16">
        <f>VLOOKUP($BB9,$AS8:$BA11,9,FALSE)</f>
        <v>0</v>
      </c>
      <c r="BD9" s="16" t="str">
        <f>IF(BC9&gt;=BC11,BB9,BB11)</f>
        <v>De Doofpot</v>
      </c>
      <c r="BE9" s="16">
        <f>VLOOKUP($BD9,$AS8:$BA11,9,FALSE)</f>
        <v>0</v>
      </c>
      <c r="BF9" s="16" t="str">
        <f>IF($BE9&gt;=$BE10,$BD9,$BD10)</f>
        <v>De Doofpot</v>
      </c>
      <c r="BG9" s="16">
        <f>VLOOKUP($BF9,$AS8:$BA11,9,FALSE)</f>
        <v>0</v>
      </c>
      <c r="BH9" s="16" t="e">
        <f>VLOOKUP($BF9,$AS8:$BA11,8,FALSE)</f>
        <v>#REF!</v>
      </c>
      <c r="BI9" s="16" t="e">
        <f>IF(AND($BG8=$BG9,$BH9&gt;$BH8),$BF8,$BF9)</f>
        <v>#REF!</v>
      </c>
      <c r="BJ9" s="16" t="e">
        <f>VLOOKUP($BI9,$AS8:$BA11,9,FALSE)</f>
        <v>#REF!</v>
      </c>
      <c r="BK9" s="16" t="e">
        <f>VLOOKUP($BI9,$AS8:$BA11,8,FALSE)</f>
        <v>#REF!</v>
      </c>
      <c r="BL9" s="16" t="e">
        <f>IF(AND($BJ9=$BJ11,$BK11&gt;$BK9),$BI11,$BI9)</f>
        <v>#REF!</v>
      </c>
      <c r="BM9" s="16" t="e">
        <f>VLOOKUP($BL9,$AS8:$BA11,9,FALSE)</f>
        <v>#REF!</v>
      </c>
      <c r="BN9" s="16" t="e">
        <f>VLOOKUP($BL9,$AS8:$BA11,8,FALSE)</f>
        <v>#REF!</v>
      </c>
      <c r="BO9" s="16" t="e">
        <f>IF(AND($BM9=$BM10,$BN10&gt;$BN9),$BL10,$BL9)</f>
        <v>#REF!</v>
      </c>
      <c r="BP9" s="16" t="e">
        <f>VLOOKUP($BO9,$AS8:$BA11,9,FALSE)</f>
        <v>#REF!</v>
      </c>
      <c r="BQ9" s="16" t="e">
        <f>VLOOKUP($BO9,$AS8:$BA11,8,FALSE)</f>
        <v>#REF!</v>
      </c>
      <c r="BR9" s="16" t="e">
        <f>VLOOKUP($BO9,$AS8:$BA11,6,FALSE)</f>
        <v>#REF!</v>
      </c>
      <c r="BS9" s="16" t="e">
        <f>IF(AND($BP8=$BP9,$BQ8=$BQ9,$BR9&gt;$BR8),$BO8,$BO9)</f>
        <v>#REF!</v>
      </c>
      <c r="BT9" s="16" t="e">
        <f>VLOOKUP($BS9,$AS8:$BA11,9,FALSE)</f>
        <v>#REF!</v>
      </c>
      <c r="BU9" s="16" t="e">
        <f>VLOOKUP($BS9,$AS8:$BA11,8,FALSE)</f>
        <v>#REF!</v>
      </c>
      <c r="BV9" s="16" t="e">
        <f>VLOOKUP($BS9,$AS8:$BA11,6,FALSE)</f>
        <v>#REF!</v>
      </c>
      <c r="BW9" s="16" t="e">
        <f>IF(AND($BT9=$BT11,$BU9=$BU11,$BV11&gt;$BV9),$BS11,$BS9)</f>
        <v>#REF!</v>
      </c>
      <c r="BX9" s="16" t="e">
        <f>VLOOKUP($BW9,$AS8:$BA11,9,FALSE)</f>
        <v>#REF!</v>
      </c>
      <c r="BY9" s="16" t="e">
        <f>VLOOKUP($BW9,$AS8:$BA11,8,FALSE)</f>
        <v>#REF!</v>
      </c>
      <c r="BZ9" s="16" t="e">
        <f>VLOOKUP($BW9,$AS8:$BA11,6,FALSE)</f>
        <v>#REF!</v>
      </c>
      <c r="CA9" s="16" t="e">
        <f>IF(AND($BX9=$BX10,$BY9=$BY10,$BZ10&gt;$BZ9),$BW10,$BW9)</f>
        <v>#REF!</v>
      </c>
      <c r="CB9" s="16" t="e">
        <f>VLOOKUP($CA9,$AS8:$BA11,9,FALSE)</f>
        <v>#REF!</v>
      </c>
      <c r="CC9" s="16" t="e">
        <f>VLOOKUP($CA9,$AS8:$BA11,8,FALSE)</f>
        <v>#REF!</v>
      </c>
      <c r="CD9" s="16" t="e">
        <f>VLOOKUP($CA9,$AS8:$BA11,6,FALSE)</f>
        <v>#REF!</v>
      </c>
      <c r="CH9" s="16" t="e">
        <f>CA9</f>
        <v>#REF!</v>
      </c>
      <c r="CI9" s="16" t="e">
        <f>VLOOKUP($CH9,$AS8:$BA11,2,FALSE)</f>
        <v>#REF!</v>
      </c>
      <c r="CJ9" s="16" t="e">
        <f>VLOOKUP($CH9,$AS8:$BA11,3,FALSE)</f>
        <v>#REF!</v>
      </c>
      <c r="CK9" s="16" t="e">
        <f>VLOOKUP($CH9,$AS8:$BA11,4,FALSE)</f>
        <v>#REF!</v>
      </c>
      <c r="CL9" s="16" t="e">
        <f>VLOOKUP($CH9,$AS8:$BA11,5,FALSE)</f>
        <v>#REF!</v>
      </c>
      <c r="CM9" s="16" t="e">
        <f>VLOOKUP($CH9,$AS8:$BA11,6,FALSE)</f>
        <v>#REF!</v>
      </c>
      <c r="CN9" s="16" t="e">
        <f>VLOOKUP($CH9,$AS8:$BA11,7,FALSE)</f>
        <v>#REF!</v>
      </c>
      <c r="CO9" s="16" t="e">
        <f>VLOOKUP($CH9,$AS8:$BA11,8,FALSE)</f>
        <v>#REF!</v>
      </c>
      <c r="CP9" s="16" t="e">
        <f>VLOOKUP($CH9,$AS8:$BA11,9,FALSE)</f>
        <v>#REF!</v>
      </c>
      <c r="CR9" s="21" t="e">
        <f>#REF!</f>
        <v>#REF!</v>
      </c>
    </row>
    <row r="10" spans="1:96" s="145" customFormat="1" ht="9.75" customHeight="1" thickBot="1" x14ac:dyDescent="0.25">
      <c r="A10" s="246" t="s">
        <v>85</v>
      </c>
      <c r="B10" s="339"/>
      <c r="C10" s="339"/>
      <c r="D10" s="124" t="s">
        <v>86</v>
      </c>
      <c r="E10" s="124"/>
      <c r="F10" s="124"/>
      <c r="G10" s="124"/>
      <c r="H10" s="124"/>
      <c r="I10" s="515" t="s">
        <v>15</v>
      </c>
      <c r="J10" s="515"/>
      <c r="K10" s="515"/>
      <c r="L10" s="526"/>
      <c r="M10" s="526"/>
      <c r="N10" s="526"/>
      <c r="O10" s="526"/>
      <c r="P10" s="527"/>
      <c r="Q10" s="24"/>
      <c r="R10" s="246" t="s">
        <v>85</v>
      </c>
      <c r="S10" s="339"/>
      <c r="T10" s="339"/>
      <c r="U10" s="124" t="s">
        <v>86</v>
      </c>
      <c r="V10" s="124"/>
      <c r="W10" s="124"/>
      <c r="X10" s="124"/>
      <c r="Y10" s="124"/>
      <c r="Z10" s="515" t="s">
        <v>15</v>
      </c>
      <c r="AA10" s="515"/>
      <c r="AB10" s="515"/>
      <c r="AC10" s="526"/>
      <c r="AD10" s="526"/>
      <c r="AE10" s="526"/>
      <c r="AF10" s="526"/>
      <c r="AG10" s="527"/>
      <c r="AH10" s="147" t="s">
        <v>142</v>
      </c>
      <c r="AI10" s="148" t="s">
        <v>143</v>
      </c>
      <c r="AJ10" s="148">
        <f>I42</f>
        <v>0</v>
      </c>
      <c r="AK10" s="233">
        <f>K42</f>
        <v>0</v>
      </c>
      <c r="AL10" s="149" t="s">
        <v>144</v>
      </c>
      <c r="AM10" s="150" t="s">
        <v>145</v>
      </c>
      <c r="AN10" s="143" t="s">
        <v>137</v>
      </c>
      <c r="AO10" s="144" t="str">
        <f t="shared" si="4"/>
        <v>Draw</v>
      </c>
      <c r="AP10" s="144" t="str">
        <f t="shared" si="5"/>
        <v>Draw</v>
      </c>
      <c r="AQ10" s="144"/>
      <c r="AS10" s="145" t="str">
        <f>EINDRONDE!D10</f>
        <v>2e Poule F</v>
      </c>
      <c r="AT10" s="145">
        <f>COUNT(Uruguay_Played)</f>
        <v>0</v>
      </c>
      <c r="AU10" s="145">
        <f>COUNTIF(Groupstage_Winners,"Uruguay")</f>
        <v>0</v>
      </c>
      <c r="AV10" s="145">
        <f>COUNTIF(Groupstage_Losers,"Uruguay")</f>
        <v>0</v>
      </c>
      <c r="AW10" s="145">
        <f>AT10-(AU10+AV10)</f>
        <v>0</v>
      </c>
      <c r="AX10" s="145" t="e">
        <f>SUM(Uruguay_Played)</f>
        <v>#REF!</v>
      </c>
      <c r="AY10" s="145" t="e">
        <f>SUM(Uruguay_Against)</f>
        <v>#REF!</v>
      </c>
      <c r="AZ10" s="145" t="e">
        <f>AX10-AY10</f>
        <v>#REF!</v>
      </c>
      <c r="BA10" s="16">
        <f t="shared" si="6"/>
        <v>0</v>
      </c>
      <c r="BB10" s="145" t="str">
        <f>IF($BA10&gt;=$BA11,$AS10,$AS11)</f>
        <v>2e Poule F</v>
      </c>
      <c r="BC10" s="145">
        <f>VLOOKUP($BB10,$AS8:$BA11,9,FALSE)</f>
        <v>0</v>
      </c>
      <c r="BD10" s="145" t="str">
        <f>IF($BC10&lt;=$BC8,$BB10,$BB8)</f>
        <v>2e Poule F</v>
      </c>
      <c r="BE10" s="145">
        <f>VLOOKUP($BD10,$AS8:$BA11,9,FALSE)</f>
        <v>0</v>
      </c>
      <c r="BF10" s="145" t="str">
        <f>IF($BE10&lt;=$BE9,$BD10,$BD9)</f>
        <v>2e Poule F</v>
      </c>
      <c r="BG10" s="145">
        <f>VLOOKUP($BF10,$AS8:$BA11,9,FALSE)</f>
        <v>0</v>
      </c>
      <c r="BH10" s="145" t="e">
        <f>VLOOKUP($BF10,$AS8:$BA11,8,FALSE)</f>
        <v>#REF!</v>
      </c>
      <c r="BI10" s="145" t="e">
        <f>IF(AND($BG10=$BG11,$BH11&gt;$BH10),$BF11,$BF10)</f>
        <v>#REF!</v>
      </c>
      <c r="BJ10" s="145" t="e">
        <f>VLOOKUP($BI10,$AS8:$BA11,9,FALSE)</f>
        <v>#REF!</v>
      </c>
      <c r="BK10" s="145" t="e">
        <f>VLOOKUP($BI10,$AS8:$BA11,8,FALSE)</f>
        <v>#REF!</v>
      </c>
      <c r="BL10" s="145" t="e">
        <f>IF(AND($BJ8=$BJ10,$BK10&gt;$BK8),$BI8,$BI10)</f>
        <v>#REF!</v>
      </c>
      <c r="BM10" s="145" t="e">
        <f>VLOOKUP($BL10,$AS8:$BA11,9,FALSE)</f>
        <v>#REF!</v>
      </c>
      <c r="BN10" s="145" t="e">
        <f>VLOOKUP($BL10,$AS8:$BA11,8,FALSE)</f>
        <v>#REF!</v>
      </c>
      <c r="BO10" s="145" t="e">
        <f>IF(AND($BM9=$BM10,$BN10&gt;$BN9),$BL9,$BL10)</f>
        <v>#REF!</v>
      </c>
      <c r="BP10" s="145" t="e">
        <f>VLOOKUP($BO10,$AS8:$BA11,9,FALSE)</f>
        <v>#REF!</v>
      </c>
      <c r="BQ10" s="145" t="e">
        <f>VLOOKUP($BO10,$AS8:$BA11,8,FALSE)</f>
        <v>#REF!</v>
      </c>
      <c r="BR10" s="145" t="e">
        <f>VLOOKUP($BO10,$AS8:$BA11,6,FALSE)</f>
        <v>#REF!</v>
      </c>
      <c r="BS10" s="145" t="e">
        <f>IF(AND($BP10=$BP11,$BQ10=$BQ11,$BR11&gt;$BR10),$BO11,$BO10)</f>
        <v>#REF!</v>
      </c>
      <c r="BT10" s="145" t="e">
        <f>VLOOKUP($BS10,$AS8:$BA11,9,FALSE)</f>
        <v>#REF!</v>
      </c>
      <c r="BU10" s="145" t="e">
        <f>VLOOKUP($BS10,$AS8:$BA11,8,FALSE)</f>
        <v>#REF!</v>
      </c>
      <c r="BV10" s="145" t="e">
        <f>VLOOKUP($BS10,$AS8:$BA11,6,FALSE)</f>
        <v>#REF!</v>
      </c>
      <c r="BW10" s="145" t="e">
        <f>IF(AND($BT8=$BT10,$BU8=$BU10,$BV9&gt;$BV8),$BS8,$BS10)</f>
        <v>#REF!</v>
      </c>
      <c r="BX10" s="145" t="e">
        <f>VLOOKUP($BW10,$AS8:$BA11,9,FALSE)</f>
        <v>#REF!</v>
      </c>
      <c r="BY10" s="145" t="e">
        <f>VLOOKUP($BW10,$AS8:$BA11,8,FALSE)</f>
        <v>#REF!</v>
      </c>
      <c r="BZ10" s="145" t="e">
        <f>VLOOKUP($BW10,$AS8:$BA11,6,FALSE)</f>
        <v>#REF!</v>
      </c>
      <c r="CA10" s="145" t="e">
        <f>IF(AND($BX9=$BX10,$BY9=$BY10,$BZ10&gt;$BZ9),$BW9,$BW10)</f>
        <v>#REF!</v>
      </c>
      <c r="CB10" s="145" t="e">
        <f>VLOOKUP($CA10,$AS8:$BA11,9,FALSE)</f>
        <v>#REF!</v>
      </c>
      <c r="CC10" s="145" t="e">
        <f>VLOOKUP($CA10,$AS8:$BA11,8,FALSE)</f>
        <v>#REF!</v>
      </c>
      <c r="CD10" s="145" t="e">
        <f>VLOOKUP($CA10,$AS8:$BA11,6,FALSE)</f>
        <v>#REF!</v>
      </c>
      <c r="CH10" s="145" t="e">
        <f>CA10</f>
        <v>#REF!</v>
      </c>
      <c r="CI10" s="145" t="e">
        <f>VLOOKUP($CH10,$AS8:$BA11,2,FALSE)</f>
        <v>#REF!</v>
      </c>
      <c r="CJ10" s="145" t="e">
        <f>VLOOKUP($CH10,$AS8:$BA11,3,FALSE)</f>
        <v>#REF!</v>
      </c>
      <c r="CK10" s="145" t="e">
        <f>VLOOKUP($CH10,$AS8:$BA11,4,FALSE)</f>
        <v>#REF!</v>
      </c>
      <c r="CL10" s="145" t="e">
        <f>VLOOKUP($CH10,$AS8:$BA11,5,FALSE)</f>
        <v>#REF!</v>
      </c>
      <c r="CM10" s="145" t="e">
        <f>VLOOKUP($CH10,$AS8:$BA11,6,FALSE)</f>
        <v>#REF!</v>
      </c>
      <c r="CN10" s="145" t="e">
        <f>VLOOKUP($CH10,$AS8:$BA11,7,FALSE)</f>
        <v>#REF!</v>
      </c>
      <c r="CO10" s="145" t="e">
        <f>VLOOKUP($CH10,$AS8:$BA11,8,FALSE)</f>
        <v>#REF!</v>
      </c>
      <c r="CP10" s="145" t="e">
        <f>VLOOKUP($CH10,$AS8:$BA11,9,FALSE)</f>
        <v>#REF!</v>
      </c>
      <c r="CR10" s="146" t="e">
        <f>#REF!</f>
        <v>#REF!</v>
      </c>
    </row>
    <row r="11" spans="1:96" ht="12.95" customHeight="1" thickBot="1" x14ac:dyDescent="0.25">
      <c r="A11" s="520">
        <f>START!C16</f>
        <v>0.58333333333333337</v>
      </c>
      <c r="B11" s="518"/>
      <c r="C11" s="283"/>
      <c r="D11" s="337" t="str">
        <f>AS53</f>
        <v>5e Beste nrs. 3</v>
      </c>
      <c r="E11" s="283" t="s">
        <v>16</v>
      </c>
      <c r="F11" s="518" t="str">
        <f>AS54</f>
        <v>4e Poule A</v>
      </c>
      <c r="G11" s="518"/>
      <c r="H11" s="518"/>
      <c r="I11" s="165" t="e">
        <f>EINDRONDE!#REF!</f>
        <v>#REF!</v>
      </c>
      <c r="J11" s="334" t="s">
        <v>16</v>
      </c>
      <c r="K11" s="166" t="e">
        <f>EINDRONDE!#REF!</f>
        <v>#REF!</v>
      </c>
      <c r="L11" s="518"/>
      <c r="M11" s="518"/>
      <c r="N11" s="518"/>
      <c r="O11" s="518"/>
      <c r="P11" s="519"/>
      <c r="Q11" s="118"/>
      <c r="R11" s="520">
        <f>START!C16</f>
        <v>0.58333333333333337</v>
      </c>
      <c r="S11" s="518"/>
      <c r="T11" s="283"/>
      <c r="U11" s="337" t="str">
        <f>AS60</f>
        <v>8e Beste nrs. 3</v>
      </c>
      <c r="V11" s="283" t="s">
        <v>16</v>
      </c>
      <c r="W11" s="518" t="str">
        <f>AS61</f>
        <v>9e Beste nrs. 3</v>
      </c>
      <c r="X11" s="518"/>
      <c r="Y11" s="518"/>
      <c r="Z11" s="165">
        <f>EINDRONDE!AD37</f>
        <v>0</v>
      </c>
      <c r="AA11" s="334" t="s">
        <v>16</v>
      </c>
      <c r="AB11" s="166">
        <f>EINDRONDE!AF37</f>
        <v>2</v>
      </c>
      <c r="AC11" s="518"/>
      <c r="AD11" s="518"/>
      <c r="AE11" s="518"/>
      <c r="AF11" s="518"/>
      <c r="AG11" s="519"/>
      <c r="AH11" s="69" t="s">
        <v>146</v>
      </c>
      <c r="AI11" s="70" t="s">
        <v>147</v>
      </c>
      <c r="AJ11" s="70">
        <f>Z43</f>
        <v>0</v>
      </c>
      <c r="AK11" s="232">
        <f>AB43</f>
        <v>0</v>
      </c>
      <c r="AL11" s="73" t="s">
        <v>148</v>
      </c>
      <c r="AM11" s="50" t="s">
        <v>149</v>
      </c>
      <c r="AN11" s="44" t="s">
        <v>127</v>
      </c>
      <c r="AO11" s="45" t="str">
        <f t="shared" si="4"/>
        <v>Draw</v>
      </c>
      <c r="AP11" s="45" t="str">
        <f t="shared" si="5"/>
        <v>Draw</v>
      </c>
      <c r="AQ11" s="45"/>
      <c r="AS11" s="16" t="str">
        <f>EINDRONDE!D11</f>
        <v>1e Beste nrs. 3</v>
      </c>
      <c r="AT11" s="16">
        <f>COUNT(Denmark_Played)</f>
        <v>0</v>
      </c>
      <c r="AU11" s="16">
        <f>COUNTIF(Groupstage_Winners,"Denmark")</f>
        <v>0</v>
      </c>
      <c r="AV11" s="16">
        <f>COUNTIF(Groupstage_Losers,"Denmark")</f>
        <v>0</v>
      </c>
      <c r="AW11" s="16">
        <f>AT11-(AU11+AV11)</f>
        <v>0</v>
      </c>
      <c r="AX11" s="16" t="e">
        <f>SUM(Denmark_Played)</f>
        <v>#REF!</v>
      </c>
      <c r="AY11" s="16" t="e">
        <f>SUM(Denmark_Against)</f>
        <v>#REF!</v>
      </c>
      <c r="AZ11" s="16" t="e">
        <f>AX11-AY11</f>
        <v>#REF!</v>
      </c>
      <c r="BA11" s="16">
        <f t="shared" si="6"/>
        <v>0</v>
      </c>
      <c r="BB11" s="16" t="str">
        <f>IF($BA11&lt;=$BA10,$AS11,$AS10)</f>
        <v>1e Beste nrs. 3</v>
      </c>
      <c r="BC11" s="16">
        <f>VLOOKUP($BB11,$AS8:$BA11,9,FALSE)</f>
        <v>0</v>
      </c>
      <c r="BD11" s="16" t="str">
        <f>IF(BC11&lt;=BC9,BB11,BB9)</f>
        <v>1e Beste nrs. 3</v>
      </c>
      <c r="BE11" s="16">
        <f>VLOOKUP($BD11,$AS8:$BA11,9,FALSE)</f>
        <v>0</v>
      </c>
      <c r="BF11" s="16" t="str">
        <f>IF($BE11&lt;=$BE8,$BD11,$BD8)</f>
        <v>1e Beste nrs. 3</v>
      </c>
      <c r="BG11" s="16">
        <f>VLOOKUP($BF11,$AS8:$BA11,9,FALSE)</f>
        <v>0</v>
      </c>
      <c r="BH11" s="16" t="e">
        <f>VLOOKUP($BF11,$AS8:$BA11,8,FALSE)</f>
        <v>#REF!</v>
      </c>
      <c r="BI11" s="16" t="e">
        <f>IF(AND($BG10=$BG11,$BH11&gt;$BH10),$BF10,$BF11)</f>
        <v>#REF!</v>
      </c>
      <c r="BJ11" s="16" t="e">
        <f>VLOOKUP($BI11,$AS8:$BA11,9,FALSE)</f>
        <v>#REF!</v>
      </c>
      <c r="BK11" s="16" t="e">
        <f>VLOOKUP($BI11,$AS8:$BA11,8,FALSE)</f>
        <v>#REF!</v>
      </c>
      <c r="BL11" s="16" t="e">
        <f>IF(AND($BJ9=$BJ11,$BK11&gt;$BK9),$BI9,$BI11)</f>
        <v>#REF!</v>
      </c>
      <c r="BM11" s="16" t="e">
        <f>VLOOKUP($BL11,$AS8:$BA11,9,FALSE)</f>
        <v>#REF!</v>
      </c>
      <c r="BN11" s="16" t="e">
        <f>VLOOKUP($BL11,$AS8:$BA11,8,FALSE)</f>
        <v>#REF!</v>
      </c>
      <c r="BO11" s="16" t="e">
        <f>IF(AND($BM8=$BM11,$BN11&gt;$BN8),$BL8,$BL11)</f>
        <v>#REF!</v>
      </c>
      <c r="BP11" s="16" t="e">
        <f>VLOOKUP($BO11,$AS8:$BA11,9,FALSE)</f>
        <v>#REF!</v>
      </c>
      <c r="BQ11" s="16" t="e">
        <f>VLOOKUP($BO11,$AS8:$BA11,8,FALSE)</f>
        <v>#REF!</v>
      </c>
      <c r="BR11" s="16" t="e">
        <f>VLOOKUP($BO11,$AS8:$BA11,6,FALSE)</f>
        <v>#REF!</v>
      </c>
      <c r="BS11" s="16" t="e">
        <f>IF(AND($BP10=$BP11,$BQ10=$BQ11,$BR11&gt;$BR10),$BO10,$BO11)</f>
        <v>#REF!</v>
      </c>
      <c r="BT11" s="16" t="e">
        <f>VLOOKUP($BS11,$AS8:$BA11,9,FALSE)</f>
        <v>#REF!</v>
      </c>
      <c r="BU11" s="16" t="e">
        <f>VLOOKUP($BS11,$AS8:$BA11,8,FALSE)</f>
        <v>#REF!</v>
      </c>
      <c r="BV11" s="16" t="e">
        <f>VLOOKUP($BS11,$AS8:$BA11,6,FALSE)</f>
        <v>#REF!</v>
      </c>
      <c r="BW11" s="16" t="e">
        <f>IF(AND($BT9=$BT11,$BU9=$BU11,$BV11&gt;$BV9),$BS9,$BS11)</f>
        <v>#REF!</v>
      </c>
      <c r="BX11" s="16" t="e">
        <f>VLOOKUP($BW11,$AS8:$BA11,9,FALSE)</f>
        <v>#REF!</v>
      </c>
      <c r="BY11" s="16" t="e">
        <f>VLOOKUP($BW11,$AS8:$BA11,8,FALSE)</f>
        <v>#REF!</v>
      </c>
      <c r="BZ11" s="16" t="e">
        <f>VLOOKUP($BW11,$AS8:$BA11,6,FALSE)</f>
        <v>#REF!</v>
      </c>
      <c r="CA11" s="16" t="e">
        <f>IF(AND($BX8=$BX11,$BY8=$BY11,$BZ11&gt;$BZ8),$BW8,$BW11)</f>
        <v>#REF!</v>
      </c>
      <c r="CB11" s="16" t="e">
        <f>VLOOKUP($CA11,$AS8:$BA11,9,FALSE)</f>
        <v>#REF!</v>
      </c>
      <c r="CC11" s="16" t="e">
        <f>VLOOKUP($CA11,$AS8:$BA11,8,FALSE)</f>
        <v>#REF!</v>
      </c>
      <c r="CD11" s="16" t="e">
        <f>VLOOKUP($CA11,$AS8:$BA11,6,FALSE)</f>
        <v>#REF!</v>
      </c>
      <c r="CH11" s="16" t="e">
        <f>CA11</f>
        <v>#REF!</v>
      </c>
      <c r="CI11" s="16" t="e">
        <f>VLOOKUP($CH11,$AS8:$BA11,2,FALSE)</f>
        <v>#REF!</v>
      </c>
      <c r="CJ11" s="16" t="e">
        <f>VLOOKUP($CH11,$AS8:$BA11,3,FALSE)</f>
        <v>#REF!</v>
      </c>
      <c r="CK11" s="16" t="e">
        <f>VLOOKUP($CH11,$AS8:$BA11,4,FALSE)</f>
        <v>#REF!</v>
      </c>
      <c r="CL11" s="16" t="e">
        <f>VLOOKUP($CH11,$AS8:$BA11,5,FALSE)</f>
        <v>#REF!</v>
      </c>
      <c r="CM11" s="16" t="e">
        <f>VLOOKUP($CH11,$AS8:$BA11,6,FALSE)</f>
        <v>#REF!</v>
      </c>
      <c r="CN11" s="16" t="e">
        <f>VLOOKUP($CH11,$AS8:$BA11,7,FALSE)</f>
        <v>#REF!</v>
      </c>
      <c r="CO11" s="16" t="e">
        <f>VLOOKUP($CH11,$AS8:$BA11,8,FALSE)</f>
        <v>#REF!</v>
      </c>
      <c r="CP11" s="16" t="e">
        <f>VLOOKUP($CH11,$AS8:$BA11,9,FALSE)</f>
        <v>#REF!</v>
      </c>
      <c r="CR11" s="21" t="e">
        <f>#REF!</f>
        <v>#REF!</v>
      </c>
    </row>
    <row r="12" spans="1:96" ht="12.95" customHeight="1" thickBot="1" x14ac:dyDescent="0.25">
      <c r="A12" s="520">
        <f>A11</f>
        <v>0.58333333333333337</v>
      </c>
      <c r="B12" s="518"/>
      <c r="C12" s="283"/>
      <c r="D12" s="24" t="str">
        <f>AS55</f>
        <v>4e Poule B</v>
      </c>
      <c r="E12" s="283" t="s">
        <v>16</v>
      </c>
      <c r="F12" s="518" t="str">
        <f>AS56</f>
        <v>4e Poule C</v>
      </c>
      <c r="G12" s="518"/>
      <c r="H12" s="518"/>
      <c r="I12" s="165" t="e">
        <f>EINDRONDE!#REF!</f>
        <v>#REF!</v>
      </c>
      <c r="J12" s="334" t="s">
        <v>16</v>
      </c>
      <c r="K12" s="166" t="e">
        <f>EINDRONDE!#REF!</f>
        <v>#REF!</v>
      </c>
      <c r="L12" s="518"/>
      <c r="M12" s="518"/>
      <c r="N12" s="518"/>
      <c r="O12" s="518"/>
      <c r="P12" s="519"/>
      <c r="Q12" s="118"/>
      <c r="R12" s="520">
        <f>R11</f>
        <v>0.58333333333333337</v>
      </c>
      <c r="S12" s="518"/>
      <c r="T12" s="283"/>
      <c r="U12" s="24" t="str">
        <f>AS62</f>
        <v>Veddetero's klunzen</v>
      </c>
      <c r="V12" s="283" t="s">
        <v>16</v>
      </c>
      <c r="W12" s="518" t="str">
        <f>AS63</f>
        <v>4e Poule E</v>
      </c>
      <c r="X12" s="518"/>
      <c r="Y12" s="518"/>
      <c r="Z12" s="165" t="str">
        <f>EINDRONDE!AD45</f>
        <v>…</v>
      </c>
      <c r="AA12" s="334" t="s">
        <v>16</v>
      </c>
      <c r="AB12" s="166" t="str">
        <f>EINDRONDE!AF45</f>
        <v>…</v>
      </c>
      <c r="AC12" s="518"/>
      <c r="AD12" s="518"/>
      <c r="AE12" s="518"/>
      <c r="AF12" s="518"/>
      <c r="AG12" s="519"/>
      <c r="AH12" s="69" t="s">
        <v>150</v>
      </c>
      <c r="AI12" s="70" t="s">
        <v>151</v>
      </c>
      <c r="AJ12" s="70" t="e">
        <f>#REF!</f>
        <v>#REF!</v>
      </c>
      <c r="AK12" s="232" t="e">
        <f>#REF!</f>
        <v>#REF!</v>
      </c>
      <c r="AL12" s="73" t="s">
        <v>152</v>
      </c>
      <c r="AM12" s="50" t="s">
        <v>153</v>
      </c>
      <c r="AN12" s="44" t="s">
        <v>154</v>
      </c>
      <c r="AO12" s="45" t="e">
        <f t="shared" si="4"/>
        <v>#REF!</v>
      </c>
      <c r="AP12" s="45" t="e">
        <f t="shared" si="5"/>
        <v>#REF!</v>
      </c>
      <c r="AQ12" s="45"/>
      <c r="CR12" s="21" t="e">
        <f>#REF!</f>
        <v>#REF!</v>
      </c>
    </row>
    <row r="13" spans="1:96" ht="12.95" customHeight="1" thickBot="1" x14ac:dyDescent="0.25">
      <c r="A13" s="520">
        <f>START!C19</f>
        <v>0.61458333333333337</v>
      </c>
      <c r="B13" s="518"/>
      <c r="C13" s="283"/>
      <c r="D13" s="24" t="str">
        <f>AS53</f>
        <v>5e Beste nrs. 3</v>
      </c>
      <c r="E13" s="283" t="s">
        <v>16</v>
      </c>
      <c r="F13" s="518" t="str">
        <f>AS55</f>
        <v>4e Poule B</v>
      </c>
      <c r="G13" s="518"/>
      <c r="H13" s="518"/>
      <c r="I13" s="165" t="e">
        <f>EINDRONDE!#REF!</f>
        <v>#REF!</v>
      </c>
      <c r="J13" s="334" t="s">
        <v>16</v>
      </c>
      <c r="K13" s="166" t="e">
        <f>EINDRONDE!#REF!</f>
        <v>#REF!</v>
      </c>
      <c r="L13" s="518"/>
      <c r="M13" s="518"/>
      <c r="N13" s="518"/>
      <c r="O13" s="518"/>
      <c r="P13" s="519"/>
      <c r="Q13" s="118"/>
      <c r="R13" s="520">
        <f>START!C20</f>
        <v>0.625</v>
      </c>
      <c r="S13" s="518"/>
      <c r="T13" s="283"/>
      <c r="U13" s="24" t="str">
        <f>AS60</f>
        <v>8e Beste nrs. 3</v>
      </c>
      <c r="V13" s="283" t="s">
        <v>16</v>
      </c>
      <c r="W13" s="518" t="str">
        <f>AS62</f>
        <v>Veddetero's klunzen</v>
      </c>
      <c r="X13" s="518"/>
      <c r="Y13" s="518"/>
      <c r="Z13" s="165" t="e">
        <f>EINDRONDE!#REF!</f>
        <v>#REF!</v>
      </c>
      <c r="AA13" s="334" t="s">
        <v>16</v>
      </c>
      <c r="AB13" s="166" t="e">
        <f>EINDRONDE!#REF!</f>
        <v>#REF!</v>
      </c>
      <c r="AC13" s="518"/>
      <c r="AD13" s="518"/>
      <c r="AE13" s="518"/>
      <c r="AF13" s="518"/>
      <c r="AG13" s="519"/>
      <c r="AH13" s="69" t="s">
        <v>155</v>
      </c>
      <c r="AI13" s="70" t="s">
        <v>156</v>
      </c>
      <c r="AJ13" s="70">
        <f>Z42</f>
        <v>0</v>
      </c>
      <c r="AK13" s="232">
        <f>AB42</f>
        <v>0</v>
      </c>
      <c r="AL13" s="73" t="s">
        <v>157</v>
      </c>
      <c r="AM13" s="50" t="s">
        <v>158</v>
      </c>
      <c r="AN13" s="44" t="s">
        <v>127</v>
      </c>
      <c r="AO13" s="45" t="str">
        <f t="shared" si="4"/>
        <v>Draw</v>
      </c>
      <c r="AP13" s="45" t="str">
        <f t="shared" si="5"/>
        <v>Draw</v>
      </c>
      <c r="AQ13" s="45"/>
      <c r="AS13" s="16" t="s">
        <v>159</v>
      </c>
      <c r="CR13" s="21" t="e">
        <f>#REF!</f>
        <v>#REF!</v>
      </c>
    </row>
    <row r="14" spans="1:96" ht="12.95" customHeight="1" thickBot="1" x14ac:dyDescent="0.25">
      <c r="A14" s="520">
        <f>START!C20</f>
        <v>0.625</v>
      </c>
      <c r="B14" s="518"/>
      <c r="C14" s="283"/>
      <c r="D14" s="24" t="str">
        <f>AS56</f>
        <v>4e Poule C</v>
      </c>
      <c r="E14" s="283" t="s">
        <v>16</v>
      </c>
      <c r="F14" s="518" t="str">
        <f>AS54</f>
        <v>4e Poule A</v>
      </c>
      <c r="G14" s="518"/>
      <c r="H14" s="518"/>
      <c r="I14" s="165" t="e">
        <f>EINDRONDE!#REF!</f>
        <v>#REF!</v>
      </c>
      <c r="J14" s="334" t="s">
        <v>16</v>
      </c>
      <c r="K14" s="166" t="e">
        <f>EINDRONDE!#REF!</f>
        <v>#REF!</v>
      </c>
      <c r="L14" s="518"/>
      <c r="M14" s="518"/>
      <c r="N14" s="518"/>
      <c r="O14" s="518"/>
      <c r="P14" s="519"/>
      <c r="Q14" s="118"/>
      <c r="R14" s="520">
        <f>R13</f>
        <v>0.625</v>
      </c>
      <c r="S14" s="518"/>
      <c r="T14" s="283"/>
      <c r="U14" s="24" t="str">
        <f>AS63</f>
        <v>4e Poule E</v>
      </c>
      <c r="V14" s="283" t="s">
        <v>16</v>
      </c>
      <c r="W14" s="518" t="str">
        <f>AS61</f>
        <v>9e Beste nrs. 3</v>
      </c>
      <c r="X14" s="518"/>
      <c r="Y14" s="518"/>
      <c r="Z14" s="165" t="e">
        <f>EINDRONDE!#REF!</f>
        <v>#REF!</v>
      </c>
      <c r="AA14" s="334" t="s">
        <v>16</v>
      </c>
      <c r="AB14" s="166" t="e">
        <f>EINDRONDE!#REF!</f>
        <v>#REF!</v>
      </c>
      <c r="AC14" s="518"/>
      <c r="AD14" s="518"/>
      <c r="AE14" s="518"/>
      <c r="AF14" s="518"/>
      <c r="AG14" s="519"/>
      <c r="AH14" s="69" t="s">
        <v>160</v>
      </c>
      <c r="AI14" s="70" t="s">
        <v>161</v>
      </c>
      <c r="AJ14" s="70" t="e">
        <f>#REF!</f>
        <v>#REF!</v>
      </c>
      <c r="AK14" s="232" t="e">
        <f>#REF!</f>
        <v>#REF!</v>
      </c>
      <c r="AL14" s="73" t="s">
        <v>162</v>
      </c>
      <c r="AM14" s="50" t="s">
        <v>163</v>
      </c>
      <c r="AN14" s="44" t="s">
        <v>154</v>
      </c>
      <c r="AO14" s="45" t="e">
        <f t="shared" si="4"/>
        <v>#REF!</v>
      </c>
      <c r="AP14" s="45" t="e">
        <f t="shared" si="5"/>
        <v>#REF!</v>
      </c>
      <c r="AQ14" s="45"/>
      <c r="AT14" s="16" t="s">
        <v>124</v>
      </c>
      <c r="AU14" s="16" t="s">
        <v>110</v>
      </c>
      <c r="AV14" s="16" t="s">
        <v>125</v>
      </c>
      <c r="AW14" s="16" t="s">
        <v>126</v>
      </c>
      <c r="AX14" s="16" t="s">
        <v>127</v>
      </c>
      <c r="AY14" s="16" t="s">
        <v>123</v>
      </c>
      <c r="AZ14" s="16" t="s">
        <v>128</v>
      </c>
      <c r="BA14" s="16" t="s">
        <v>129</v>
      </c>
      <c r="CR14" s="21" t="e">
        <f>#REF!</f>
        <v>#REF!</v>
      </c>
    </row>
    <row r="15" spans="1:96" ht="12.95" customHeight="1" thickBot="1" x14ac:dyDescent="0.25">
      <c r="A15" s="520">
        <f>START!C23</f>
        <v>0.65625</v>
      </c>
      <c r="B15" s="518"/>
      <c r="C15" s="283"/>
      <c r="D15" s="24" t="str">
        <f>AS54</f>
        <v>4e Poule A</v>
      </c>
      <c r="E15" s="283" t="s">
        <v>16</v>
      </c>
      <c r="F15" s="518" t="str">
        <f>AS55</f>
        <v>4e Poule B</v>
      </c>
      <c r="G15" s="518"/>
      <c r="H15" s="518"/>
      <c r="I15" s="165" t="e">
        <f>EINDRONDE!#REF!</f>
        <v>#REF!</v>
      </c>
      <c r="J15" s="334" t="s">
        <v>16</v>
      </c>
      <c r="K15" s="166" t="e">
        <f>EINDRONDE!#REF!</f>
        <v>#REF!</v>
      </c>
      <c r="L15" s="518"/>
      <c r="M15" s="518"/>
      <c r="N15" s="518"/>
      <c r="O15" s="518"/>
      <c r="P15" s="519"/>
      <c r="Q15" s="118"/>
      <c r="R15" s="520">
        <f>START!C23</f>
        <v>0.65625</v>
      </c>
      <c r="S15" s="518"/>
      <c r="T15" s="283"/>
      <c r="U15" s="24" t="str">
        <f>AS61</f>
        <v>9e Beste nrs. 3</v>
      </c>
      <c r="V15" s="283" t="s">
        <v>16</v>
      </c>
      <c r="W15" s="518" t="str">
        <f>AS62</f>
        <v>Veddetero's klunzen</v>
      </c>
      <c r="X15" s="518"/>
      <c r="Y15" s="518"/>
      <c r="Z15" s="165" t="e">
        <f>EINDRONDE!#REF!</f>
        <v>#REF!</v>
      </c>
      <c r="AA15" s="334" t="s">
        <v>16</v>
      </c>
      <c r="AB15" s="166" t="e">
        <f>EINDRONDE!#REF!</f>
        <v>#REF!</v>
      </c>
      <c r="AC15" s="518"/>
      <c r="AD15" s="518"/>
      <c r="AE15" s="518"/>
      <c r="AF15" s="518"/>
      <c r="AG15" s="519"/>
      <c r="AH15" s="69" t="s">
        <v>164</v>
      </c>
      <c r="AI15" s="70" t="s">
        <v>165</v>
      </c>
      <c r="AJ15" s="70" t="e">
        <f>I12</f>
        <v>#REF!</v>
      </c>
      <c r="AK15" s="232" t="e">
        <f>K12</f>
        <v>#REF!</v>
      </c>
      <c r="AL15" s="73" t="s">
        <v>166</v>
      </c>
      <c r="AM15" s="50" t="s">
        <v>167</v>
      </c>
      <c r="AN15" s="44" t="s">
        <v>111</v>
      </c>
      <c r="AO15" s="45" t="e">
        <f t="shared" si="4"/>
        <v>#REF!</v>
      </c>
      <c r="AP15" s="45" t="e">
        <f t="shared" si="5"/>
        <v>#REF!</v>
      </c>
      <c r="AQ15" s="45"/>
      <c r="AS15" s="16" t="str">
        <f>EINDRONDE!J8</f>
        <v>Team Bombert</v>
      </c>
      <c r="AT15" s="16">
        <f>COUNT(Spain_Played)</f>
        <v>0</v>
      </c>
      <c r="AU15" s="16">
        <f>COUNTIF(Groupstage_Winners,"Spain")</f>
        <v>0</v>
      </c>
      <c r="AV15" s="16">
        <f>COUNTIF(Groupstage_Losers,"Spain")</f>
        <v>0</v>
      </c>
      <c r="AW15" s="16">
        <f>AT15-(AU15+AV15)</f>
        <v>0</v>
      </c>
      <c r="AX15" s="16" t="e">
        <f>SUM(Spain_Played)</f>
        <v>#REF!</v>
      </c>
      <c r="AY15" s="16" t="e">
        <f>SUM(Spain_Against)</f>
        <v>#REF!</v>
      </c>
      <c r="AZ15" s="16" t="e">
        <f>AX15-AY15</f>
        <v>#REF!</v>
      </c>
      <c r="BA15" s="16">
        <f>SUM((AU15*3)+(AW15*1))</f>
        <v>0</v>
      </c>
      <c r="BB15" s="16" t="str">
        <f>IF($BA15&gt;=$BA16,$AS15,$AS16)</f>
        <v>Team Bombert</v>
      </c>
      <c r="BC15" s="16">
        <f>VLOOKUP($BB15,$AS15:$BA18,9,FALSE)</f>
        <v>0</v>
      </c>
      <c r="BD15" s="16" t="e">
        <f>IF($BC15&gt;=$BC17,$BB15,$BB17)</f>
        <v>#REF!</v>
      </c>
      <c r="BE15" s="16" t="e">
        <f>VLOOKUP($BD15,$AS15:$BA18,9,FALSE)</f>
        <v>#REF!</v>
      </c>
      <c r="BF15" s="16" t="e">
        <f>IF($BE15&gt;=$BE18,$BD15,$BD18)</f>
        <v>#REF!</v>
      </c>
      <c r="BG15" s="16" t="e">
        <f>VLOOKUP($BF15,$AS15:$BA18,9,FALSE)</f>
        <v>#REF!</v>
      </c>
      <c r="BH15" s="16" t="e">
        <f>VLOOKUP($BF15,$AS15:$BA18,8,FALSE)</f>
        <v>#REF!</v>
      </c>
      <c r="BI15" s="16" t="e">
        <f>IF(AND($BG15=$BG16,$BH16&gt;$BH15),$BF16,$BF15)</f>
        <v>#REF!</v>
      </c>
      <c r="BJ15" s="16" t="e">
        <f>VLOOKUP($BI15,$AS15:$BA18,9,FALSE)</f>
        <v>#REF!</v>
      </c>
      <c r="BK15" s="16" t="e">
        <f>VLOOKUP($BI15,$AS15:$BA18,8,FALSE)</f>
        <v>#REF!</v>
      </c>
      <c r="BL15" s="16" t="e">
        <f>IF(AND($BJ15=$BJ17,$BK17&gt;$BK15),$BI17,$BI15)</f>
        <v>#REF!</v>
      </c>
      <c r="BM15" s="16" t="e">
        <f>VLOOKUP($BL15,$AS15:$BA18,9,FALSE)</f>
        <v>#REF!</v>
      </c>
      <c r="BN15" s="16" t="e">
        <f>VLOOKUP($BL15,$AS15:$BA18,8,FALSE)</f>
        <v>#REF!</v>
      </c>
      <c r="BO15" s="16" t="e">
        <f>IF(AND($BM15=$BM18,$BN18&gt;$BN15),$BL18,$BL15)</f>
        <v>#REF!</v>
      </c>
      <c r="BP15" s="16" t="e">
        <f>VLOOKUP($BO15,$AS15:$BA18,9,FALSE)</f>
        <v>#REF!</v>
      </c>
      <c r="BQ15" s="16" t="e">
        <f>VLOOKUP($BO15,$AS15:$BA18,8,FALSE)</f>
        <v>#REF!</v>
      </c>
      <c r="BR15" s="16" t="e">
        <f>VLOOKUP($BO15,$AS15:$BA18,6,FALSE)</f>
        <v>#REF!</v>
      </c>
      <c r="BS15" s="16" t="e">
        <f>IF(AND($BP15=$BP16,$BQ15=$BQ16,$BR16&gt;$BR15),$BO16,$BO15)</f>
        <v>#REF!</v>
      </c>
      <c r="BT15" s="16" t="e">
        <f>VLOOKUP($BS15,$AS15:$BA18,9,FALSE)</f>
        <v>#REF!</v>
      </c>
      <c r="BU15" s="16" t="e">
        <f>VLOOKUP($BS15,$AS15:$BA18,8,FALSE)</f>
        <v>#REF!</v>
      </c>
      <c r="BV15" s="16" t="e">
        <f>VLOOKUP($BS15,$AS15:$BA18,6,FALSE)</f>
        <v>#REF!</v>
      </c>
      <c r="BW15" s="16" t="e">
        <f>IF(AND($BT15=$BT17,$BU15=$BU17,$BV17&gt;$BV15),$BS17,$BS15)</f>
        <v>#REF!</v>
      </c>
      <c r="BX15" s="16" t="e">
        <f>VLOOKUP($BW15,$AS15:$BA18,9,FALSE)</f>
        <v>#REF!</v>
      </c>
      <c r="BY15" s="16" t="e">
        <f>VLOOKUP($BW15,$AS15:$BA18,8,FALSE)</f>
        <v>#REF!</v>
      </c>
      <c r="BZ15" s="16" t="e">
        <f>VLOOKUP($BW15,$AS15:$BA18,6,FALSE)</f>
        <v>#REF!</v>
      </c>
      <c r="CA15" s="16" t="e">
        <f>IF(AND($BX15=$BX18,$BY15=$BY18,$BZ18&gt;$BZ15),$BW18,$BW15)</f>
        <v>#REF!</v>
      </c>
      <c r="CB15" s="16" t="e">
        <f>VLOOKUP($CA15,$AS15:$BA18,9,FALSE)</f>
        <v>#REF!</v>
      </c>
      <c r="CC15" s="16" t="e">
        <f>VLOOKUP($CA15,$AS15:$BA18,8,FALSE)</f>
        <v>#REF!</v>
      </c>
      <c r="CD15" s="16" t="e">
        <f>VLOOKUP($CA15,$AS15:$BA18,6,FALSE)</f>
        <v>#REF!</v>
      </c>
      <c r="CH15" s="16" t="e">
        <f>CA15</f>
        <v>#REF!</v>
      </c>
      <c r="CI15" s="16" t="e">
        <f>VLOOKUP($CH15,$AS15:$BA18,2,FALSE)</f>
        <v>#REF!</v>
      </c>
      <c r="CJ15" s="16" t="e">
        <f>VLOOKUP($CH15,$AS15:$BA18,3,FALSE)</f>
        <v>#REF!</v>
      </c>
      <c r="CK15" s="16" t="e">
        <f>VLOOKUP($CH15,$AS15:$BA18,4,FALSE)</f>
        <v>#REF!</v>
      </c>
      <c r="CL15" s="16" t="e">
        <f>VLOOKUP($CH15,$AS15:$BA18,5,FALSE)</f>
        <v>#REF!</v>
      </c>
      <c r="CM15" s="16" t="e">
        <f>VLOOKUP($CH15,$AS15:$BA18,6,FALSE)</f>
        <v>#REF!</v>
      </c>
      <c r="CN15" s="16" t="e">
        <f>VLOOKUP($CH15,$AS15:$BA18,7,FALSE)</f>
        <v>#REF!</v>
      </c>
      <c r="CO15" s="16" t="e">
        <f>VLOOKUP($CH15,$AS15:$BA18,8,FALSE)</f>
        <v>#REF!</v>
      </c>
      <c r="CP15" s="16" t="e">
        <f>VLOOKUP($CH15,$AS15:$BA18,9,FALSE)</f>
        <v>#REF!</v>
      </c>
      <c r="CR15" s="21" t="e">
        <f>#REF!</f>
        <v>#REF!</v>
      </c>
    </row>
    <row r="16" spans="1:96" ht="12.95" customHeight="1" thickBot="1" x14ac:dyDescent="0.25">
      <c r="A16" s="528">
        <f>START!C24</f>
        <v>0.66666666666666663</v>
      </c>
      <c r="B16" s="529"/>
      <c r="C16" s="272"/>
      <c r="D16" s="30" t="str">
        <f>AS56</f>
        <v>4e Poule C</v>
      </c>
      <c r="E16" s="272" t="s">
        <v>16</v>
      </c>
      <c r="F16" s="529" t="str">
        <f>AS53</f>
        <v>5e Beste nrs. 3</v>
      </c>
      <c r="G16" s="529"/>
      <c r="H16" s="529"/>
      <c r="I16" s="248" t="e">
        <f>EINDRONDE!#REF!</f>
        <v>#REF!</v>
      </c>
      <c r="J16" s="247" t="s">
        <v>16</v>
      </c>
      <c r="K16" s="249" t="e">
        <f>EINDRONDE!#REF!</f>
        <v>#REF!</v>
      </c>
      <c r="L16" s="529"/>
      <c r="M16" s="529"/>
      <c r="N16" s="529"/>
      <c r="O16" s="529"/>
      <c r="P16" s="530"/>
      <c r="Q16" s="118"/>
      <c r="R16" s="528">
        <f>R15</f>
        <v>0.65625</v>
      </c>
      <c r="S16" s="529"/>
      <c r="T16" s="272"/>
      <c r="U16" s="30" t="str">
        <f>AS63</f>
        <v>4e Poule E</v>
      </c>
      <c r="V16" s="272" t="s">
        <v>16</v>
      </c>
      <c r="W16" s="529" t="str">
        <f>AS60</f>
        <v>8e Beste nrs. 3</v>
      </c>
      <c r="X16" s="529"/>
      <c r="Y16" s="529"/>
      <c r="Z16" s="248" t="e">
        <f>EINDRONDE!#REF!</f>
        <v>#REF!</v>
      </c>
      <c r="AA16" s="247" t="s">
        <v>16</v>
      </c>
      <c r="AB16" s="249" t="e">
        <f>EINDRONDE!#REF!</f>
        <v>#REF!</v>
      </c>
      <c r="AC16" s="529"/>
      <c r="AD16" s="529"/>
      <c r="AE16" s="529"/>
      <c r="AF16" s="529"/>
      <c r="AG16" s="530"/>
      <c r="AH16" s="69" t="s">
        <v>168</v>
      </c>
      <c r="AI16" s="70" t="s">
        <v>169</v>
      </c>
      <c r="AJ16" s="70" t="str">
        <f>I26</f>
        <v>…</v>
      </c>
      <c r="AK16" s="232" t="str">
        <f>K26</f>
        <v>…</v>
      </c>
      <c r="AL16" s="73" t="s">
        <v>170</v>
      </c>
      <c r="AM16" s="50" t="s">
        <v>171</v>
      </c>
      <c r="AN16" s="44" t="s">
        <v>172</v>
      </c>
      <c r="AO16" s="45" t="str">
        <f t="shared" si="4"/>
        <v>Draw</v>
      </c>
      <c r="AP16" s="45" t="str">
        <f t="shared" si="5"/>
        <v>Draw</v>
      </c>
      <c r="AQ16" s="45"/>
      <c r="AS16" s="16" t="str">
        <f>EINDRONDE!J9</f>
        <v>FC Vondelpark</v>
      </c>
      <c r="AT16" s="16">
        <f>COUNT(Slovenia_Played)</f>
        <v>0</v>
      </c>
      <c r="AU16" s="16">
        <f>COUNTIF(Groupstage_Winners,"Slovenia")</f>
        <v>0</v>
      </c>
      <c r="AV16" s="16">
        <f>COUNTIF(Groupstage_Losers,"Slovenia")</f>
        <v>0</v>
      </c>
      <c r="AW16" s="16">
        <f>AT16-(AU16+AV16)</f>
        <v>0</v>
      </c>
      <c r="AX16" s="16" t="e">
        <f>SUM(Slovenia_Played)</f>
        <v>#REF!</v>
      </c>
      <c r="AY16" s="16" t="e">
        <f>SUM(Slovenia_Against)</f>
        <v>#REF!</v>
      </c>
      <c r="AZ16" s="16" t="e">
        <f>AX16-AY16</f>
        <v>#REF!</v>
      </c>
      <c r="BA16" s="16">
        <f t="shared" ref="BA16:BA18" si="7">SUM((AU16*3)+(AW16*1))</f>
        <v>0</v>
      </c>
      <c r="BB16" s="16" t="str">
        <f>IF($BA16&lt;=$BA15,$AS16,$AS15)</f>
        <v>FC Vondelpark</v>
      </c>
      <c r="BC16" s="16">
        <f>VLOOKUP($BB16,$AS15:$BA18,9,FALSE)</f>
        <v>0</v>
      </c>
      <c r="BD16" s="16" t="str">
        <f>IF(BC16&gt;=BC18,BB16,BB18)</f>
        <v>FC Vondelpark</v>
      </c>
      <c r="BE16" s="16">
        <f>VLOOKUP($BD16,$AS15:$BA18,9,FALSE)</f>
        <v>0</v>
      </c>
      <c r="BF16" s="16" t="e">
        <f>IF($BE16&gt;=$BE17,$BD16,$BD17)</f>
        <v>#REF!</v>
      </c>
      <c r="BG16" s="16" t="e">
        <f>VLOOKUP($BF16,$AS15:$BA18,9,FALSE)</f>
        <v>#REF!</v>
      </c>
      <c r="BH16" s="16" t="e">
        <f>VLOOKUP($BF16,$AS15:$BA18,8,FALSE)</f>
        <v>#REF!</v>
      </c>
      <c r="BI16" s="16" t="e">
        <f>IF(AND($BG15=$BG16,$BH16&gt;$BH15),$BF15,$BF16)</f>
        <v>#REF!</v>
      </c>
      <c r="BJ16" s="16" t="e">
        <f>VLOOKUP($BI16,$AS15:$BA18,9,FALSE)</f>
        <v>#REF!</v>
      </c>
      <c r="BK16" s="16" t="e">
        <f>VLOOKUP($BI16,$AS15:$BA18,8,FALSE)</f>
        <v>#REF!</v>
      </c>
      <c r="BL16" s="16" t="e">
        <f>IF(AND($BJ16=$BJ18,$BK18&gt;$BK16),$BI18,$BI16)</f>
        <v>#REF!</v>
      </c>
      <c r="BM16" s="16" t="e">
        <f>VLOOKUP($BL16,$AS15:$BA18,9,FALSE)</f>
        <v>#REF!</v>
      </c>
      <c r="BN16" s="16" t="e">
        <f>VLOOKUP($BL16,$AS15:$BA18,8,FALSE)</f>
        <v>#REF!</v>
      </c>
      <c r="BO16" s="16" t="e">
        <f>IF(AND($BM16=$BM17,$BN17&gt;$BN16),$BL17,$BL16)</f>
        <v>#REF!</v>
      </c>
      <c r="BP16" s="16" t="e">
        <f>VLOOKUP($BO16,$AS15:$BA18,9,FALSE)</f>
        <v>#REF!</v>
      </c>
      <c r="BQ16" s="16" t="e">
        <f>VLOOKUP($BO16,$AS15:$BA18,8,FALSE)</f>
        <v>#REF!</v>
      </c>
      <c r="BR16" s="16" t="e">
        <f>VLOOKUP($BO16,$AS15:$BA18,6,FALSE)</f>
        <v>#REF!</v>
      </c>
      <c r="BS16" s="16" t="e">
        <f>IF(AND($BP15=$BP16,$BQ15=$BQ16,$BR16&gt;$BR15),$BO15,$BO16)</f>
        <v>#REF!</v>
      </c>
      <c r="BT16" s="16" t="e">
        <f>VLOOKUP($BS16,$AS15:$BA18,9,FALSE)</f>
        <v>#REF!</v>
      </c>
      <c r="BU16" s="16" t="e">
        <f>VLOOKUP($BS16,$AS15:$BA18,8,FALSE)</f>
        <v>#REF!</v>
      </c>
      <c r="BV16" s="16" t="e">
        <f>VLOOKUP($BS16,$AS15:$BA18,6,FALSE)</f>
        <v>#REF!</v>
      </c>
      <c r="BW16" s="16" t="e">
        <f>IF(AND($BT16=$BT18,$BU16=$BU18,$BV18&gt;$BV16),$BS18,$BS16)</f>
        <v>#REF!</v>
      </c>
      <c r="BX16" s="16" t="e">
        <f>VLOOKUP($BW16,$AS15:$BA18,9,FALSE)</f>
        <v>#REF!</v>
      </c>
      <c r="BY16" s="16" t="e">
        <f>VLOOKUP($BW16,$AS15:$BA18,8,FALSE)</f>
        <v>#REF!</v>
      </c>
      <c r="BZ16" s="16" t="e">
        <f>VLOOKUP($BW16,$AS15:$BA18,6,FALSE)</f>
        <v>#REF!</v>
      </c>
      <c r="CA16" s="16" t="e">
        <f>IF(AND($BX16=$BX17,$BY16=$BY17,$BZ17&gt;$BZ16),$BW17,$BW16)</f>
        <v>#REF!</v>
      </c>
      <c r="CB16" s="16" t="e">
        <f>VLOOKUP($CA16,$AS15:$BA18,9,FALSE)</f>
        <v>#REF!</v>
      </c>
      <c r="CC16" s="16" t="e">
        <f>VLOOKUP($CA16,$AS15:$BA18,8,FALSE)</f>
        <v>#REF!</v>
      </c>
      <c r="CD16" s="16" t="e">
        <f>VLOOKUP($CA16,$AS15:$BA18,6,FALSE)</f>
        <v>#REF!</v>
      </c>
      <c r="CH16" s="16" t="e">
        <f>CA16</f>
        <v>#REF!</v>
      </c>
      <c r="CI16" s="16" t="e">
        <f>VLOOKUP($CH16,$AS15:$BA18,2,FALSE)</f>
        <v>#REF!</v>
      </c>
      <c r="CJ16" s="16" t="e">
        <f>VLOOKUP($CH16,$AS15:$BA18,3,FALSE)</f>
        <v>#REF!</v>
      </c>
      <c r="CK16" s="16" t="e">
        <f>VLOOKUP($CH16,$AS15:$BA18,4,FALSE)</f>
        <v>#REF!</v>
      </c>
      <c r="CL16" s="16" t="e">
        <f>VLOOKUP($CH16,$AS15:$BA18,5,FALSE)</f>
        <v>#REF!</v>
      </c>
      <c r="CM16" s="16" t="e">
        <f>VLOOKUP($CH16,$AS15:$BA18,6,FALSE)</f>
        <v>#REF!</v>
      </c>
      <c r="CN16" s="16" t="e">
        <f>VLOOKUP($CH16,$AS15:$BA18,7,FALSE)</f>
        <v>#REF!</v>
      </c>
      <c r="CO16" s="16" t="e">
        <f>VLOOKUP($CH16,$AS15:$BA18,8,FALSE)</f>
        <v>#REF!</v>
      </c>
      <c r="CP16" s="16" t="e">
        <f>VLOOKUP($CH16,$AS15:$BA18,9,FALSE)</f>
        <v>#REF!</v>
      </c>
      <c r="CR16" s="21" t="e">
        <f>#REF!</f>
        <v>#REF!</v>
      </c>
    </row>
    <row r="17" spans="1:96" ht="13.5" thickBot="1" x14ac:dyDescent="0.25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83"/>
      <c r="AH17" s="69" t="s">
        <v>173</v>
      </c>
      <c r="AI17" s="70" t="s">
        <v>174</v>
      </c>
      <c r="AJ17" s="70" t="e">
        <f>I11</f>
        <v>#REF!</v>
      </c>
      <c r="AK17" s="232" t="e">
        <f>K11</f>
        <v>#REF!</v>
      </c>
      <c r="AL17" s="73" t="s">
        <v>175</v>
      </c>
      <c r="AM17" s="52" t="s">
        <v>176</v>
      </c>
      <c r="AN17" s="44" t="s">
        <v>111</v>
      </c>
      <c r="AO17" s="45" t="e">
        <f t="shared" si="4"/>
        <v>#REF!</v>
      </c>
      <c r="AP17" s="45" t="e">
        <f t="shared" si="5"/>
        <v>#REF!</v>
      </c>
      <c r="AQ17" s="45"/>
      <c r="AS17" s="16" t="e">
        <f>EINDRONDE!J10</f>
        <v>#REF!</v>
      </c>
      <c r="AT17" s="16">
        <f>COUNT(Paraguay_Played)</f>
        <v>0</v>
      </c>
      <c r="AU17" s="16">
        <f>COUNTIF(Groupstage_Winners,"Paraguay")</f>
        <v>0</v>
      </c>
      <c r="AV17" s="16">
        <f>COUNTIF(Groupstage_Losers,"Paraguay")</f>
        <v>0</v>
      </c>
      <c r="AW17" s="16">
        <f>AT17-(AU17+AV17)</f>
        <v>0</v>
      </c>
      <c r="AX17" s="16" t="e">
        <f>SUM(Paraguay_Played)</f>
        <v>#REF!</v>
      </c>
      <c r="AY17" s="16" t="e">
        <f>SUM(Paraguay_Against)</f>
        <v>#REF!</v>
      </c>
      <c r="AZ17" s="16" t="e">
        <f>AX17-AY17</f>
        <v>#REF!</v>
      </c>
      <c r="BA17" s="16">
        <f t="shared" si="7"/>
        <v>0</v>
      </c>
      <c r="BB17" s="16" t="e">
        <f>IF($BA17&gt;=$BA18,$AS17,$AS18)</f>
        <v>#REF!</v>
      </c>
      <c r="BC17" s="16" t="e">
        <f>VLOOKUP($BB17,$AS15:$BA18,9,FALSE)</f>
        <v>#REF!</v>
      </c>
      <c r="BD17" s="16" t="e">
        <f>IF($BC17&lt;=$BC15,$BB17,$BB15)</f>
        <v>#REF!</v>
      </c>
      <c r="BE17" s="16" t="e">
        <f>VLOOKUP($BD17,$AS15:$BA18,9,FALSE)</f>
        <v>#REF!</v>
      </c>
      <c r="BF17" s="16" t="e">
        <f>IF($BE17&lt;=$BE16,$BD17,$BD16)</f>
        <v>#REF!</v>
      </c>
      <c r="BG17" s="16" t="e">
        <f>VLOOKUP($BF17,$AS15:$BA18,9,FALSE)</f>
        <v>#REF!</v>
      </c>
      <c r="BH17" s="16" t="e">
        <f>VLOOKUP($BF17,$AS15:$BA18,8,FALSE)</f>
        <v>#REF!</v>
      </c>
      <c r="BI17" s="16" t="e">
        <f>IF(AND($BG17=$BG18,$BH18&gt;$BH17),$BF18,$BF17)</f>
        <v>#REF!</v>
      </c>
      <c r="BJ17" s="16" t="e">
        <f>VLOOKUP($BI17,$AS15:$BA18,9,FALSE)</f>
        <v>#REF!</v>
      </c>
      <c r="BK17" s="16" t="e">
        <f>VLOOKUP($BI17,$AS15:$BA18,8,FALSE)</f>
        <v>#REF!</v>
      </c>
      <c r="BL17" s="16" t="e">
        <f>IF(AND($BJ15=$BJ17,$BK17&gt;$BK15),$BI15,$BI17)</f>
        <v>#REF!</v>
      </c>
      <c r="BM17" s="16" t="e">
        <f>VLOOKUP($BL17,$AS15:$BA18,9,FALSE)</f>
        <v>#REF!</v>
      </c>
      <c r="BN17" s="16" t="e">
        <f>VLOOKUP($BL17,$AS15:$BA18,8,FALSE)</f>
        <v>#REF!</v>
      </c>
      <c r="BO17" s="16" t="e">
        <f>IF(AND($BM16=$BM17,$BN17&gt;$BN16),$BL16,$BL17)</f>
        <v>#REF!</v>
      </c>
      <c r="BP17" s="16" t="e">
        <f>VLOOKUP($BO17,$AS15:$BA18,9,FALSE)</f>
        <v>#REF!</v>
      </c>
      <c r="BQ17" s="16" t="e">
        <f>VLOOKUP($BO17,$AS15:$BA18,8,FALSE)</f>
        <v>#REF!</v>
      </c>
      <c r="BR17" s="16" t="e">
        <f>VLOOKUP($BO17,$AS15:$BA18,6,FALSE)</f>
        <v>#REF!</v>
      </c>
      <c r="BS17" s="16" t="e">
        <f>IF(AND($BP17=$BP18,$BQ17=$BQ18,$BR18&gt;$BR17),$BO18,$BO17)</f>
        <v>#REF!</v>
      </c>
      <c r="BT17" s="16" t="e">
        <f>VLOOKUP($BS17,$AS15:$BA18,9,FALSE)</f>
        <v>#REF!</v>
      </c>
      <c r="BU17" s="16" t="e">
        <f>VLOOKUP($BS17,$AS15:$BA18,8,FALSE)</f>
        <v>#REF!</v>
      </c>
      <c r="BV17" s="16" t="e">
        <f>VLOOKUP($BS17,$AS15:$BA18,6,FALSE)</f>
        <v>#REF!</v>
      </c>
      <c r="BW17" s="16" t="e">
        <f>IF(AND($BT15=$BT17,$BU15=$BU17,$BV16&gt;$BV15),$BS15,$BS17)</f>
        <v>#REF!</v>
      </c>
      <c r="BX17" s="16" t="e">
        <f>VLOOKUP($BW17,$AS15:$BA18,9,FALSE)</f>
        <v>#REF!</v>
      </c>
      <c r="BY17" s="16" t="e">
        <f>VLOOKUP($BW17,$AS15:$BA18,8,FALSE)</f>
        <v>#REF!</v>
      </c>
      <c r="BZ17" s="16" t="e">
        <f>VLOOKUP($BW17,$AS15:$BA18,6,FALSE)</f>
        <v>#REF!</v>
      </c>
      <c r="CA17" s="16" t="e">
        <f>IF(AND($BX16=$BX17,$BY16=$BY17,$BZ17&gt;$BZ16),$BW16,$BW17)</f>
        <v>#REF!</v>
      </c>
      <c r="CB17" s="16" t="e">
        <f>VLOOKUP($CA17,$AS15:$BA18,9,FALSE)</f>
        <v>#REF!</v>
      </c>
      <c r="CC17" s="16" t="e">
        <f>VLOOKUP($CA17,$AS15:$BA18,8,FALSE)</f>
        <v>#REF!</v>
      </c>
      <c r="CD17" s="16" t="e">
        <f>VLOOKUP($CA17,$AS15:$BA18,6,FALSE)</f>
        <v>#REF!</v>
      </c>
      <c r="CH17" s="16" t="e">
        <f>CA17</f>
        <v>#REF!</v>
      </c>
      <c r="CI17" s="16" t="e">
        <f>VLOOKUP($CH17,$AS15:$BA18,2,FALSE)</f>
        <v>#REF!</v>
      </c>
      <c r="CJ17" s="16" t="e">
        <f>VLOOKUP($CH17,$AS15:$BA18,3,FALSE)</f>
        <v>#REF!</v>
      </c>
      <c r="CK17" s="16" t="e">
        <f>VLOOKUP($CH17,$AS15:$BA18,4,FALSE)</f>
        <v>#REF!</v>
      </c>
      <c r="CL17" s="16" t="e">
        <f>VLOOKUP($CH17,$AS15:$BA18,5,FALSE)</f>
        <v>#REF!</v>
      </c>
      <c r="CM17" s="16" t="e">
        <f>VLOOKUP($CH17,$AS15:$BA18,6,FALSE)</f>
        <v>#REF!</v>
      </c>
      <c r="CN17" s="16" t="e">
        <f>VLOOKUP($CH17,$AS15:$BA18,7,FALSE)</f>
        <v>#REF!</v>
      </c>
      <c r="CO17" s="16" t="e">
        <f>VLOOKUP($CH17,$AS15:$BA18,8,FALSE)</f>
        <v>#REF!</v>
      </c>
      <c r="CP17" s="16" t="e">
        <f>VLOOKUP($CH17,$AS15:$BA18,9,FALSE)</f>
        <v>#REF!</v>
      </c>
      <c r="CR17" s="21" t="e">
        <f>#REF!</f>
        <v>#REF!</v>
      </c>
    </row>
    <row r="18" spans="1:96" ht="18.75" thickBot="1" x14ac:dyDescent="0.3">
      <c r="A18" s="536" t="s">
        <v>232</v>
      </c>
      <c r="B18" s="534"/>
      <c r="C18" s="534"/>
      <c r="D18" s="534"/>
      <c r="E18" s="534"/>
      <c r="F18" s="534"/>
      <c r="G18" s="534"/>
      <c r="H18" s="534"/>
      <c r="I18" s="534"/>
      <c r="J18" s="534"/>
      <c r="K18" s="534"/>
      <c r="L18" s="534"/>
      <c r="M18" s="534"/>
      <c r="N18" s="534"/>
      <c r="O18" s="534"/>
      <c r="P18" s="535"/>
      <c r="R18" s="523" t="s">
        <v>233</v>
      </c>
      <c r="S18" s="524"/>
      <c r="T18" s="524"/>
      <c r="U18" s="524"/>
      <c r="V18" s="524"/>
      <c r="W18" s="524"/>
      <c r="X18" s="524"/>
      <c r="Y18" s="524"/>
      <c r="Z18" s="524"/>
      <c r="AA18" s="524"/>
      <c r="AB18" s="524"/>
      <c r="AC18" s="524"/>
      <c r="AD18" s="524"/>
      <c r="AE18" s="524"/>
      <c r="AF18" s="524"/>
      <c r="AG18" s="525"/>
      <c r="AH18" s="70" t="s">
        <v>177</v>
      </c>
      <c r="AI18" s="70" t="s">
        <v>178</v>
      </c>
      <c r="AJ18" s="70">
        <f>I27</f>
        <v>1</v>
      </c>
      <c r="AK18" s="232">
        <f>K27</f>
        <v>1</v>
      </c>
      <c r="AL18" s="73" t="s">
        <v>179</v>
      </c>
      <c r="AM18" s="51" t="s">
        <v>180</v>
      </c>
      <c r="AN18" s="44" t="s">
        <v>172</v>
      </c>
      <c r="AO18" s="45" t="str">
        <f t="shared" si="4"/>
        <v>Draw</v>
      </c>
      <c r="AP18" s="45" t="str">
        <f t="shared" si="5"/>
        <v>Draw</v>
      </c>
      <c r="AQ18" s="45"/>
      <c r="AS18" s="16" t="str">
        <f>EINDRONDE!J11</f>
        <v>4e Beste nrs. 3</v>
      </c>
      <c r="AT18" s="16">
        <f>COUNT(South_Africa_Played)</f>
        <v>0</v>
      </c>
      <c r="AU18" s="16">
        <f>COUNTIF(Groupstage_Winners,"South Africa")</f>
        <v>0</v>
      </c>
      <c r="AV18" s="16">
        <f>COUNTIF(Groupstage_Losers,"South Africa")</f>
        <v>0</v>
      </c>
      <c r="AW18" s="16">
        <f>AT18-(AU18+AV18)</f>
        <v>0</v>
      </c>
      <c r="AX18" s="16" t="e">
        <f>SUM(South_Africa_Played)</f>
        <v>#REF!</v>
      </c>
      <c r="AY18" s="16" t="e">
        <f>SUM(South_Africa_Against)</f>
        <v>#REF!</v>
      </c>
      <c r="AZ18" s="16" t="e">
        <f>AX18-AY18</f>
        <v>#REF!</v>
      </c>
      <c r="BA18" s="16">
        <f t="shared" si="7"/>
        <v>0</v>
      </c>
      <c r="BB18" s="16" t="str">
        <f>IF($BA18&lt;=$BA17,$AS18,$AS17)</f>
        <v>4e Beste nrs. 3</v>
      </c>
      <c r="BC18" s="16">
        <f>VLOOKUP($BB18,$AS15:$BA18,9,FALSE)</f>
        <v>0</v>
      </c>
      <c r="BD18" s="16" t="str">
        <f>IF(BC18&lt;=BC16,BB18,BB16)</f>
        <v>4e Beste nrs. 3</v>
      </c>
      <c r="BE18" s="16">
        <f>VLOOKUP($BD18,$AS15:$BA18,9,FALSE)</f>
        <v>0</v>
      </c>
      <c r="BF18" s="16" t="e">
        <f>IF($BE18&lt;=$BE15,$BD18,$BD15)</f>
        <v>#REF!</v>
      </c>
      <c r="BG18" s="16" t="e">
        <f>VLOOKUP($BF18,$AS15:$BA18,9,FALSE)</f>
        <v>#REF!</v>
      </c>
      <c r="BH18" s="16" t="e">
        <f>VLOOKUP($BF18,$AS15:$BA18,8,FALSE)</f>
        <v>#REF!</v>
      </c>
      <c r="BI18" s="16" t="e">
        <f>IF(AND($BG17=$BG18,$BH18&gt;$BH17),$BF17,$BF18)</f>
        <v>#REF!</v>
      </c>
      <c r="BJ18" s="16" t="e">
        <f>VLOOKUP($BI18,$AS15:$BA18,9,FALSE)</f>
        <v>#REF!</v>
      </c>
      <c r="BK18" s="16" t="e">
        <f>VLOOKUP($BI18,$AS15:$BA18,8,FALSE)</f>
        <v>#REF!</v>
      </c>
      <c r="BL18" s="16" t="e">
        <f>IF(AND($BJ16=$BJ18,$BK18&gt;$BK16),$BI16,$BI18)</f>
        <v>#REF!</v>
      </c>
      <c r="BM18" s="16" t="e">
        <f>VLOOKUP($BL18,$AS15:$BA18,9,FALSE)</f>
        <v>#REF!</v>
      </c>
      <c r="BN18" s="16" t="e">
        <f>VLOOKUP($BL18,$AS15:$BA18,8,FALSE)</f>
        <v>#REF!</v>
      </c>
      <c r="BO18" s="16" t="e">
        <f>IF(AND($BM15=$BM18,$BN18&gt;$BN15),$BL15,$BL18)</f>
        <v>#REF!</v>
      </c>
      <c r="BP18" s="16" t="e">
        <f>VLOOKUP($BO18,$AS15:$BA18,9,FALSE)</f>
        <v>#REF!</v>
      </c>
      <c r="BQ18" s="16" t="e">
        <f>VLOOKUP($BO18,$AS15:$BA18,8,FALSE)</f>
        <v>#REF!</v>
      </c>
      <c r="BR18" s="16" t="e">
        <f>VLOOKUP($BO18,$AS15:$BA18,6,FALSE)</f>
        <v>#REF!</v>
      </c>
      <c r="BS18" s="16" t="e">
        <f>IF(AND($BP17=$BP18,$BQ17=$BQ18,$BR18&gt;$BR17),$BO17,$BO18)</f>
        <v>#REF!</v>
      </c>
      <c r="BT18" s="16" t="e">
        <f>VLOOKUP($BS18,$AS15:$BA18,9,FALSE)</f>
        <v>#REF!</v>
      </c>
      <c r="BU18" s="16" t="e">
        <f>VLOOKUP($BS18,$AS15:$BA18,8,FALSE)</f>
        <v>#REF!</v>
      </c>
      <c r="BV18" s="16" t="e">
        <f>VLOOKUP($BS18,$AS15:$BA18,6,FALSE)</f>
        <v>#REF!</v>
      </c>
      <c r="BW18" s="16" t="e">
        <f>IF(AND($BT16=$BT18,$BU16=$BU18,$BV18&gt;$BV16),$BS16,$BS18)</f>
        <v>#REF!</v>
      </c>
      <c r="BX18" s="16" t="e">
        <f>VLOOKUP($BW18,$AS15:$BA18,9,FALSE)</f>
        <v>#REF!</v>
      </c>
      <c r="BY18" s="16" t="e">
        <f>VLOOKUP($BW18,$AS15:$BA18,8,FALSE)</f>
        <v>#REF!</v>
      </c>
      <c r="BZ18" s="16" t="e">
        <f>VLOOKUP($BW18,$AS15:$BA18,6,FALSE)</f>
        <v>#REF!</v>
      </c>
      <c r="CA18" s="16" t="e">
        <f>IF(AND($BX15=$BX18,$BY15=$BY18,$BZ18&gt;$BZ15),$BW15,$BW18)</f>
        <v>#REF!</v>
      </c>
      <c r="CB18" s="16" t="e">
        <f>VLOOKUP($CA18,$AS15:$BA18,9,FALSE)</f>
        <v>#REF!</v>
      </c>
      <c r="CC18" s="16" t="e">
        <f>VLOOKUP($CA18,$AS15:$BA18,8,FALSE)</f>
        <v>#REF!</v>
      </c>
      <c r="CD18" s="16" t="e">
        <f>VLOOKUP($CA18,$AS15:$BA18,6,FALSE)</f>
        <v>#REF!</v>
      </c>
      <c r="CH18" s="16" t="e">
        <f>CA18</f>
        <v>#REF!</v>
      </c>
      <c r="CI18" s="16" t="e">
        <f>VLOOKUP($CH18,$AS15:$BA18,2,FALSE)</f>
        <v>#REF!</v>
      </c>
      <c r="CJ18" s="16" t="e">
        <f>VLOOKUP($CH18,$AS15:$BA18,3,FALSE)</f>
        <v>#REF!</v>
      </c>
      <c r="CK18" s="16" t="e">
        <f>VLOOKUP($CH18,$AS15:$BA18,4,FALSE)</f>
        <v>#REF!</v>
      </c>
      <c r="CL18" s="16" t="e">
        <f>VLOOKUP($CH18,$AS15:$BA18,5,FALSE)</f>
        <v>#REF!</v>
      </c>
      <c r="CM18" s="16" t="e">
        <f>VLOOKUP($CH18,$AS15:$BA18,6,FALSE)</f>
        <v>#REF!</v>
      </c>
      <c r="CN18" s="16" t="e">
        <f>VLOOKUP($CH18,$AS15:$BA18,7,FALSE)</f>
        <v>#REF!</v>
      </c>
      <c r="CO18" s="16" t="e">
        <f>VLOOKUP($CH18,$AS15:$BA18,8,FALSE)</f>
        <v>#REF!</v>
      </c>
      <c r="CP18" s="16" t="e">
        <f>VLOOKUP($CH18,$AS15:$BA18,9,FALSE)</f>
        <v>#REF!</v>
      </c>
      <c r="CR18" s="21" t="e">
        <f>#REF!</f>
        <v>#REF!</v>
      </c>
    </row>
    <row r="19" spans="1:96" ht="12.95" customHeight="1" thickBot="1" x14ac:dyDescent="0.25">
      <c r="A19" s="28"/>
      <c r="B19" s="26"/>
      <c r="C19" s="26"/>
      <c r="D19" s="26"/>
      <c r="E19" s="26"/>
      <c r="F19" s="26"/>
      <c r="G19" s="340" t="s">
        <v>109</v>
      </c>
      <c r="H19" s="340" t="s">
        <v>110</v>
      </c>
      <c r="I19" s="340" t="s">
        <v>111</v>
      </c>
      <c r="J19" s="531" t="s">
        <v>112</v>
      </c>
      <c r="K19" s="531"/>
      <c r="L19" s="531" t="s">
        <v>113</v>
      </c>
      <c r="M19" s="531"/>
      <c r="N19" s="531"/>
      <c r="O19" s="338" t="str">
        <f>T("+/-")</f>
        <v>+/-</v>
      </c>
      <c r="P19" s="245" t="s">
        <v>114</v>
      </c>
      <c r="R19" s="28"/>
      <c r="X19" s="338" t="s">
        <v>109</v>
      </c>
      <c r="Y19" s="338" t="s">
        <v>110</v>
      </c>
      <c r="Z19" s="338" t="s">
        <v>111</v>
      </c>
      <c r="AA19" s="522" t="s">
        <v>112</v>
      </c>
      <c r="AB19" s="522"/>
      <c r="AC19" s="522" t="s">
        <v>113</v>
      </c>
      <c r="AD19" s="522"/>
      <c r="AE19" s="522"/>
      <c r="AF19" s="338" t="str">
        <f>T("+/-")</f>
        <v>+/-</v>
      </c>
      <c r="AG19" s="245" t="s">
        <v>114</v>
      </c>
      <c r="AH19" s="69" t="s">
        <v>181</v>
      </c>
      <c r="AI19" s="70" t="s">
        <v>182</v>
      </c>
      <c r="AJ19" s="70">
        <f>Z11</f>
        <v>0</v>
      </c>
      <c r="AK19" s="232">
        <f>AB11</f>
        <v>2</v>
      </c>
      <c r="AL19" s="73" t="s">
        <v>183</v>
      </c>
      <c r="AM19" s="50" t="s">
        <v>184</v>
      </c>
      <c r="AN19" s="44" t="s">
        <v>185</v>
      </c>
      <c r="AO19" s="45" t="str">
        <f t="shared" si="4"/>
        <v>Belgium</v>
      </c>
      <c r="AP19" s="45" t="str">
        <f t="shared" si="5"/>
        <v>Japan</v>
      </c>
      <c r="AQ19" s="45"/>
      <c r="CR19" s="21" t="e">
        <f>#REF!</f>
        <v>#REF!</v>
      </c>
    </row>
    <row r="20" spans="1:96" ht="12.95" customHeight="1" thickBot="1" x14ac:dyDescent="0.25">
      <c r="A20" s="516" t="s">
        <v>220</v>
      </c>
      <c r="B20" s="517"/>
      <c r="C20" s="118" t="e">
        <f>CH22</f>
        <v>#REF!</v>
      </c>
      <c r="D20" s="118"/>
      <c r="E20" s="118"/>
      <c r="F20" s="118"/>
      <c r="G20" s="335" t="e">
        <f t="shared" ref="G20:H23" si="8">CI22</f>
        <v>#REF!</v>
      </c>
      <c r="H20" s="335" t="e">
        <f t="shared" si="8"/>
        <v>#REF!</v>
      </c>
      <c r="I20" s="334" t="e">
        <f>CL22</f>
        <v>#REF!</v>
      </c>
      <c r="J20" s="514" t="e">
        <f>CK22</f>
        <v>#REF!</v>
      </c>
      <c r="K20" s="514"/>
      <c r="L20" s="218" t="e">
        <f>CM22</f>
        <v>#REF!</v>
      </c>
      <c r="M20" s="334" t="s">
        <v>16</v>
      </c>
      <c r="N20" s="326" t="e">
        <f t="shared" ref="N20:O23" si="9">CN22</f>
        <v>#REF!</v>
      </c>
      <c r="O20" s="335" t="e">
        <f t="shared" si="9"/>
        <v>#REF!</v>
      </c>
      <c r="P20" s="306" t="e">
        <f>SUM(H20*3+I20*1)</f>
        <v>#REF!</v>
      </c>
      <c r="Q20" s="167"/>
      <c r="R20" s="516" t="s">
        <v>220</v>
      </c>
      <c r="S20" s="517"/>
      <c r="T20" s="118" t="e">
        <f>CH29</f>
        <v>#REF!</v>
      </c>
      <c r="U20" s="118"/>
      <c r="V20" s="118"/>
      <c r="W20" s="118"/>
      <c r="X20" s="335" t="e">
        <f t="shared" ref="X20:Y22" si="10">CI29</f>
        <v>#REF!</v>
      </c>
      <c r="Y20" s="335" t="e">
        <f t="shared" si="10"/>
        <v>#REF!</v>
      </c>
      <c r="Z20" s="334" t="e">
        <f>CL29</f>
        <v>#REF!</v>
      </c>
      <c r="AA20" s="514" t="e">
        <f>CK29</f>
        <v>#REF!</v>
      </c>
      <c r="AB20" s="514"/>
      <c r="AC20" s="218" t="e">
        <f>CM29</f>
        <v>#REF!</v>
      </c>
      <c r="AD20" s="334" t="s">
        <v>16</v>
      </c>
      <c r="AE20" s="326" t="e">
        <f t="shared" ref="AE20:AF22" si="11">CN29</f>
        <v>#REF!</v>
      </c>
      <c r="AF20" s="335" t="e">
        <f t="shared" si="11"/>
        <v>#REF!</v>
      </c>
      <c r="AG20" s="306" t="e">
        <f>SUM(Y20*3+Z20*1)</f>
        <v>#REF!</v>
      </c>
      <c r="AH20" s="70" t="s">
        <v>187</v>
      </c>
      <c r="AI20" s="70" t="s">
        <v>188</v>
      </c>
      <c r="AJ20" s="70" t="str">
        <f>Z26</f>
        <v>…</v>
      </c>
      <c r="AK20" s="232" t="str">
        <f>AB26</f>
        <v>…</v>
      </c>
      <c r="AL20" s="73" t="s">
        <v>189</v>
      </c>
      <c r="AM20" s="51" t="s">
        <v>190</v>
      </c>
      <c r="AN20" s="44" t="s">
        <v>126</v>
      </c>
      <c r="AO20" s="45" t="str">
        <f t="shared" si="4"/>
        <v>Draw</v>
      </c>
      <c r="AP20" s="45" t="str">
        <f t="shared" si="5"/>
        <v>Draw</v>
      </c>
      <c r="AQ20" s="45"/>
      <c r="AS20" s="16" t="s">
        <v>191</v>
      </c>
      <c r="CR20" s="21" t="e">
        <f>#REF!</f>
        <v>#REF!</v>
      </c>
    </row>
    <row r="21" spans="1:96" ht="12.95" customHeight="1" thickBot="1" x14ac:dyDescent="0.25">
      <c r="A21" s="516" t="s">
        <v>221</v>
      </c>
      <c r="B21" s="517"/>
      <c r="C21" s="118" t="e">
        <f>CH23</f>
        <v>#REF!</v>
      </c>
      <c r="D21" s="118"/>
      <c r="E21" s="118"/>
      <c r="F21" s="118"/>
      <c r="G21" s="335" t="e">
        <f t="shared" si="8"/>
        <v>#REF!</v>
      </c>
      <c r="H21" s="335" t="e">
        <f t="shared" si="8"/>
        <v>#REF!</v>
      </c>
      <c r="I21" s="334" t="e">
        <f>CL23</f>
        <v>#REF!</v>
      </c>
      <c r="J21" s="514" t="e">
        <f>CK23</f>
        <v>#REF!</v>
      </c>
      <c r="K21" s="514"/>
      <c r="L21" s="218" t="e">
        <f>CM23</f>
        <v>#REF!</v>
      </c>
      <c r="M21" s="334" t="s">
        <v>16</v>
      </c>
      <c r="N21" s="326" t="e">
        <f t="shared" si="9"/>
        <v>#REF!</v>
      </c>
      <c r="O21" s="335" t="e">
        <f t="shared" si="9"/>
        <v>#REF!</v>
      </c>
      <c r="P21" s="306" t="e">
        <f>SUM(H21*3+I21*1)</f>
        <v>#REF!</v>
      </c>
      <c r="Q21" s="167"/>
      <c r="R21" s="516" t="s">
        <v>221</v>
      </c>
      <c r="S21" s="517"/>
      <c r="T21" s="118" t="e">
        <f>CH30</f>
        <v>#REF!</v>
      </c>
      <c r="U21" s="118"/>
      <c r="V21" s="118"/>
      <c r="W21" s="118"/>
      <c r="X21" s="335" t="e">
        <f t="shared" si="10"/>
        <v>#REF!</v>
      </c>
      <c r="Y21" s="335" t="e">
        <f t="shared" si="10"/>
        <v>#REF!</v>
      </c>
      <c r="Z21" s="334" t="e">
        <f>CL30</f>
        <v>#REF!</v>
      </c>
      <c r="AA21" s="514" t="e">
        <f>CK30</f>
        <v>#REF!</v>
      </c>
      <c r="AB21" s="514"/>
      <c r="AC21" s="218" t="e">
        <f>CM30</f>
        <v>#REF!</v>
      </c>
      <c r="AD21" s="334" t="s">
        <v>16</v>
      </c>
      <c r="AE21" s="326" t="e">
        <f t="shared" si="11"/>
        <v>#REF!</v>
      </c>
      <c r="AF21" s="335" t="e">
        <f t="shared" si="11"/>
        <v>#REF!</v>
      </c>
      <c r="AG21" s="306" t="e">
        <f>SUM(Y21*3+Z21*1)</f>
        <v>#REF!</v>
      </c>
      <c r="AH21" s="70" t="s">
        <v>193</v>
      </c>
      <c r="AI21" s="70" t="s">
        <v>194</v>
      </c>
      <c r="AJ21" s="70" t="str">
        <f>Z12</f>
        <v>…</v>
      </c>
      <c r="AK21" s="232" t="str">
        <f>AB12</f>
        <v>…</v>
      </c>
      <c r="AL21" s="73" t="s">
        <v>195</v>
      </c>
      <c r="AM21" s="51" t="s">
        <v>196</v>
      </c>
      <c r="AN21" s="44" t="s">
        <v>185</v>
      </c>
      <c r="AO21" s="45" t="str">
        <f t="shared" si="4"/>
        <v>Draw</v>
      </c>
      <c r="AP21" s="45" t="str">
        <f t="shared" si="5"/>
        <v>Draw</v>
      </c>
      <c r="AQ21" s="45"/>
      <c r="AT21" s="16" t="s">
        <v>124</v>
      </c>
      <c r="AU21" s="16" t="s">
        <v>110</v>
      </c>
      <c r="AV21" s="16" t="s">
        <v>125</v>
      </c>
      <c r="AW21" s="16" t="s">
        <v>126</v>
      </c>
      <c r="AX21" s="16" t="s">
        <v>127</v>
      </c>
      <c r="AY21" s="16" t="s">
        <v>123</v>
      </c>
      <c r="AZ21" s="16" t="s">
        <v>128</v>
      </c>
      <c r="BA21" s="16" t="s">
        <v>129</v>
      </c>
      <c r="CR21" s="21" t="e">
        <f>#REF!</f>
        <v>#REF!</v>
      </c>
    </row>
    <row r="22" spans="1:96" ht="12.95" customHeight="1" thickBot="1" x14ac:dyDescent="0.25">
      <c r="A22" s="516" t="s">
        <v>222</v>
      </c>
      <c r="B22" s="517"/>
      <c r="C22" s="118" t="e">
        <f>CH24</f>
        <v>#REF!</v>
      </c>
      <c r="D22" s="118"/>
      <c r="E22" s="118"/>
      <c r="F22" s="118"/>
      <c r="G22" s="335" t="e">
        <f t="shared" si="8"/>
        <v>#REF!</v>
      </c>
      <c r="H22" s="335" t="e">
        <f t="shared" si="8"/>
        <v>#REF!</v>
      </c>
      <c r="I22" s="334" t="e">
        <f>CL24</f>
        <v>#REF!</v>
      </c>
      <c r="J22" s="514" t="e">
        <f>CK24</f>
        <v>#REF!</v>
      </c>
      <c r="K22" s="514"/>
      <c r="L22" s="218" t="e">
        <f>CM24</f>
        <v>#REF!</v>
      </c>
      <c r="M22" s="334" t="s">
        <v>16</v>
      </c>
      <c r="N22" s="326" t="e">
        <f t="shared" si="9"/>
        <v>#REF!</v>
      </c>
      <c r="O22" s="335" t="e">
        <f t="shared" si="9"/>
        <v>#REF!</v>
      </c>
      <c r="P22" s="306" t="e">
        <f>SUM(H22*3+I22*1)</f>
        <v>#REF!</v>
      </c>
      <c r="Q22" s="167"/>
      <c r="R22" s="516" t="s">
        <v>222</v>
      </c>
      <c r="S22" s="517"/>
      <c r="T22" s="118" t="e">
        <f>CH31</f>
        <v>#REF!</v>
      </c>
      <c r="U22" s="118"/>
      <c r="V22" s="118"/>
      <c r="W22" s="118"/>
      <c r="X22" s="335" t="e">
        <f t="shared" si="10"/>
        <v>#REF!</v>
      </c>
      <c r="Y22" s="335" t="e">
        <f t="shared" si="10"/>
        <v>#REF!</v>
      </c>
      <c r="Z22" s="334" t="e">
        <f>CL31</f>
        <v>#REF!</v>
      </c>
      <c r="AA22" s="514" t="e">
        <f>CK31</f>
        <v>#REF!</v>
      </c>
      <c r="AB22" s="514"/>
      <c r="AC22" s="218" t="e">
        <f>CM31</f>
        <v>#REF!</v>
      </c>
      <c r="AD22" s="334" t="s">
        <v>16</v>
      </c>
      <c r="AE22" s="326" t="e">
        <f t="shared" si="11"/>
        <v>#REF!</v>
      </c>
      <c r="AF22" s="335" t="e">
        <f t="shared" si="11"/>
        <v>#REF!</v>
      </c>
      <c r="AG22" s="306" t="e">
        <f>SUM(Y22*3+Z22*1)</f>
        <v>#REF!</v>
      </c>
      <c r="AH22" s="70" t="s">
        <v>198</v>
      </c>
      <c r="AI22" s="70" t="s">
        <v>199</v>
      </c>
      <c r="AJ22" s="70" t="str">
        <f>Z27</f>
        <v>…</v>
      </c>
      <c r="AK22" s="232" t="str">
        <f>AB27</f>
        <v>…</v>
      </c>
      <c r="AL22" s="73" t="s">
        <v>200</v>
      </c>
      <c r="AM22" s="51" t="s">
        <v>201</v>
      </c>
      <c r="AN22" s="44" t="s">
        <v>126</v>
      </c>
      <c r="AO22" s="45" t="str">
        <f t="shared" si="4"/>
        <v>Draw</v>
      </c>
      <c r="AP22" s="45" t="str">
        <f t="shared" si="5"/>
        <v>Draw</v>
      </c>
      <c r="AQ22" s="45"/>
      <c r="AS22" s="16" t="str">
        <f>EINDRONDE!V14</f>
        <v>6e Beste nrs. 3</v>
      </c>
      <c r="AT22" s="16">
        <f>COUNT(Brazil_Played)</f>
        <v>1</v>
      </c>
      <c r="AU22" s="16">
        <f>COUNTIF(Groupstage_Winners,"Brazil")</f>
        <v>0</v>
      </c>
      <c r="AV22" s="16">
        <f>COUNTIF(Groupstage_Losers,"Brazil")</f>
        <v>0</v>
      </c>
      <c r="AW22" s="16">
        <f>AT22-(AU22+AV22)</f>
        <v>1</v>
      </c>
      <c r="AX22" s="16" t="e">
        <f>SUM(Brazil_Played)</f>
        <v>#REF!</v>
      </c>
      <c r="AY22" s="16" t="e">
        <f>SUM(Brazil_Against)</f>
        <v>#REF!</v>
      </c>
      <c r="AZ22" s="16" t="e">
        <f>AX22-AY22</f>
        <v>#REF!</v>
      </c>
      <c r="BA22" s="16">
        <f>SUM((AU22*3)+(AW22*1))</f>
        <v>1</v>
      </c>
      <c r="BB22" s="16" t="str">
        <f>IF($BA22&gt;=$BA23,$AS22,$AS23)</f>
        <v>6e Beste nrs. 3</v>
      </c>
      <c r="BC22" s="16">
        <f>VLOOKUP($BB22,$AS22:$BA25,9,FALSE)</f>
        <v>1</v>
      </c>
      <c r="BD22" s="16" t="e">
        <f>IF($BC22&gt;=$BC24,$BB22,$BB24)</f>
        <v>#REF!</v>
      </c>
      <c r="BE22" s="16" t="e">
        <f>VLOOKUP($BD22,$AS22:$BA25,9,FALSE)</f>
        <v>#REF!</v>
      </c>
      <c r="BF22" s="16" t="e">
        <f>IF($BE22&gt;=$BE25,$BD22,$BD25)</f>
        <v>#REF!</v>
      </c>
      <c r="BG22" s="16" t="e">
        <f>VLOOKUP($BF22,$AS22:$BA25,9,FALSE)</f>
        <v>#REF!</v>
      </c>
      <c r="BH22" s="16" t="e">
        <f>VLOOKUP($BF22,$AS22:$BA25,8,FALSE)</f>
        <v>#REF!</v>
      </c>
      <c r="BI22" s="16" t="e">
        <f>IF(AND($BG22=$BG23,$BH23&gt;$BH22),$BF23,$BF22)</f>
        <v>#REF!</v>
      </c>
      <c r="BJ22" s="16" t="e">
        <f>VLOOKUP($BI22,$AS22:$BA25,9,FALSE)</f>
        <v>#REF!</v>
      </c>
      <c r="BK22" s="16" t="e">
        <f>VLOOKUP($BI22,$AS22:$BA25,8,FALSE)</f>
        <v>#REF!</v>
      </c>
      <c r="BL22" s="16" t="e">
        <f>IF(AND($BJ22=$BJ24,$BK24&gt;$BK22),$BI24,$BI22)</f>
        <v>#REF!</v>
      </c>
      <c r="BM22" s="16" t="e">
        <f>VLOOKUP($BL22,$AS22:$BA25,9,FALSE)</f>
        <v>#REF!</v>
      </c>
      <c r="BN22" s="16" t="e">
        <f>VLOOKUP($BL22,$AS22:$BA25,8,FALSE)</f>
        <v>#REF!</v>
      </c>
      <c r="BO22" s="16" t="e">
        <f>IF(AND($BM22=$BM25,$BN25&gt;$BN22),$BL25,$BL22)</f>
        <v>#REF!</v>
      </c>
      <c r="BP22" s="16" t="e">
        <f>VLOOKUP($BO22,$AS22:$BA25,9,FALSE)</f>
        <v>#REF!</v>
      </c>
      <c r="BQ22" s="16" t="e">
        <f>VLOOKUP($BO22,$AS22:$BA25,8,FALSE)</f>
        <v>#REF!</v>
      </c>
      <c r="BR22" s="16" t="e">
        <f>VLOOKUP($BO22,$AS22:$BA25,6,FALSE)</f>
        <v>#REF!</v>
      </c>
      <c r="BS22" s="16" t="e">
        <f>IF(AND($BP22=$BP23,$BQ22=$BQ23,$BR23&gt;$BR22),$BO23,$BO22)</f>
        <v>#REF!</v>
      </c>
      <c r="BT22" s="16" t="e">
        <f>VLOOKUP($BS22,$AS22:$BA25,9,FALSE)</f>
        <v>#REF!</v>
      </c>
      <c r="BU22" s="16" t="e">
        <f>VLOOKUP($BS22,$AS22:$BA25,8,FALSE)</f>
        <v>#REF!</v>
      </c>
      <c r="BV22" s="16" t="e">
        <f>VLOOKUP($BS22,$AS22:$BA25,6,FALSE)</f>
        <v>#REF!</v>
      </c>
      <c r="BW22" s="16" t="e">
        <f>IF(AND($BT22=$BT24,$BU22=$BU24,$BV24&gt;$BV22),$BS24,$BS22)</f>
        <v>#REF!</v>
      </c>
      <c r="BX22" s="16" t="e">
        <f>VLOOKUP($BW22,$AS22:$BA25,9,FALSE)</f>
        <v>#REF!</v>
      </c>
      <c r="BY22" s="16" t="e">
        <f>VLOOKUP($BW22,$AS22:$BA25,8,FALSE)</f>
        <v>#REF!</v>
      </c>
      <c r="BZ22" s="16" t="e">
        <f>VLOOKUP($BW22,$AS22:$BA25,6,FALSE)</f>
        <v>#REF!</v>
      </c>
      <c r="CA22" s="16" t="e">
        <f>IF(AND($BX22=$BX25,$BY22=$BY25,$BZ25&gt;$BZ22),$BW25,$BW22)</f>
        <v>#REF!</v>
      </c>
      <c r="CB22" s="16" t="e">
        <f>VLOOKUP($CA22,$AS22:$BA25,9,FALSE)</f>
        <v>#REF!</v>
      </c>
      <c r="CC22" s="16" t="e">
        <f>VLOOKUP($CA22,$AS22:$BA25,8,FALSE)</f>
        <v>#REF!</v>
      </c>
      <c r="CD22" s="16" t="e">
        <f>VLOOKUP($CA22,$AS22:$BA25,6,FALSE)</f>
        <v>#REF!</v>
      </c>
      <c r="CH22" s="16" t="e">
        <f>CA22</f>
        <v>#REF!</v>
      </c>
      <c r="CI22" s="16" t="e">
        <f>VLOOKUP($CH22,$AS22:$BA25,2,FALSE)</f>
        <v>#REF!</v>
      </c>
      <c r="CJ22" s="16" t="e">
        <f>VLOOKUP($CH22,$AS22:$BA25,3,FALSE)</f>
        <v>#REF!</v>
      </c>
      <c r="CK22" s="16" t="e">
        <f>VLOOKUP($CH22,$AS22:$BA25,4,FALSE)</f>
        <v>#REF!</v>
      </c>
      <c r="CL22" s="16" t="e">
        <f>VLOOKUP($CH22,$AS22:$BA25,5,FALSE)</f>
        <v>#REF!</v>
      </c>
      <c r="CM22" s="16" t="e">
        <f>VLOOKUP($CH22,$AS22:$BA25,6,FALSE)</f>
        <v>#REF!</v>
      </c>
      <c r="CN22" s="16" t="e">
        <f>VLOOKUP($CH22,$AS22:$BA25,7,FALSE)</f>
        <v>#REF!</v>
      </c>
      <c r="CO22" s="16" t="e">
        <f>VLOOKUP($CH22,$AS22:$BA25,8,FALSE)</f>
        <v>#REF!</v>
      </c>
      <c r="CP22" s="16" t="e">
        <f>VLOOKUP($CH22,$AS22:$BA25,9,FALSE)</f>
        <v>#REF!</v>
      </c>
      <c r="CR22" s="21" t="e">
        <f>#REF!</f>
        <v>#REF!</v>
      </c>
    </row>
    <row r="23" spans="1:96" ht="12.95" customHeight="1" thickBot="1" x14ac:dyDescent="0.25">
      <c r="A23" s="516" t="s">
        <v>223</v>
      </c>
      <c r="B23" s="517"/>
      <c r="C23" s="118" t="e">
        <f>CH25</f>
        <v>#REF!</v>
      </c>
      <c r="D23" s="118"/>
      <c r="E23" s="118"/>
      <c r="F23" s="118"/>
      <c r="G23" s="335" t="e">
        <f t="shared" si="8"/>
        <v>#REF!</v>
      </c>
      <c r="H23" s="335" t="e">
        <f t="shared" si="8"/>
        <v>#REF!</v>
      </c>
      <c r="I23" s="334" t="e">
        <f>CL25</f>
        <v>#REF!</v>
      </c>
      <c r="J23" s="514" t="e">
        <f>CK25</f>
        <v>#REF!</v>
      </c>
      <c r="K23" s="514"/>
      <c r="L23" s="218" t="e">
        <f>CM25</f>
        <v>#REF!</v>
      </c>
      <c r="M23" s="334" t="s">
        <v>16</v>
      </c>
      <c r="N23" s="326" t="e">
        <f t="shared" si="9"/>
        <v>#REF!</v>
      </c>
      <c r="O23" s="335" t="e">
        <f t="shared" si="9"/>
        <v>#REF!</v>
      </c>
      <c r="P23" s="306" t="e">
        <f>SUM(H23*3+I23*1)</f>
        <v>#REF!</v>
      </c>
      <c r="Q23" s="167"/>
      <c r="R23" s="516" t="s">
        <v>223</v>
      </c>
      <c r="S23" s="517"/>
      <c r="T23" s="118" t="e">
        <f>CH33</f>
        <v>#REF!</v>
      </c>
      <c r="U23" s="118"/>
      <c r="V23" s="118"/>
      <c r="W23" s="118"/>
      <c r="X23" s="335" t="e">
        <f>CI33</f>
        <v>#REF!</v>
      </c>
      <c r="Y23" s="335" t="e">
        <f>CJ33</f>
        <v>#REF!</v>
      </c>
      <c r="Z23" s="334" t="e">
        <f>CL33</f>
        <v>#REF!</v>
      </c>
      <c r="AA23" s="514" t="e">
        <f>CK33</f>
        <v>#REF!</v>
      </c>
      <c r="AB23" s="514"/>
      <c r="AC23" s="218" t="e">
        <f>CM33</f>
        <v>#REF!</v>
      </c>
      <c r="AD23" s="334" t="s">
        <v>16</v>
      </c>
      <c r="AE23" s="326" t="e">
        <f>CN33</f>
        <v>#REF!</v>
      </c>
      <c r="AF23" s="335" t="e">
        <f>CO33</f>
        <v>#REF!</v>
      </c>
      <c r="AG23" s="306" t="e">
        <f>SUM(Y23*3+Z23*1)</f>
        <v>#REF!</v>
      </c>
      <c r="AH23" s="63" t="s">
        <v>142</v>
      </c>
      <c r="AI23" s="63" t="s">
        <v>143</v>
      </c>
      <c r="AJ23" s="63">
        <f>I44</f>
        <v>0</v>
      </c>
      <c r="AK23" s="234">
        <f>K44</f>
        <v>0</v>
      </c>
      <c r="AL23" s="77" t="s">
        <v>134</v>
      </c>
      <c r="AM23" s="48" t="s">
        <v>133</v>
      </c>
      <c r="AN23" s="44" t="s">
        <v>137</v>
      </c>
      <c r="AO23" s="45" t="str">
        <f t="shared" si="4"/>
        <v>Draw</v>
      </c>
      <c r="AP23" s="45" t="str">
        <f t="shared" si="5"/>
        <v>Draw</v>
      </c>
      <c r="AQ23" s="45"/>
      <c r="AS23" s="16" t="str">
        <f>EINDRONDE!V15</f>
        <v>4e Poule F</v>
      </c>
      <c r="AT23" s="16">
        <f>COUNT(Turkey_Played)</f>
        <v>0</v>
      </c>
      <c r="AU23" s="16">
        <f>COUNTIF(Groupstage_Winners,"Turkey")</f>
        <v>0</v>
      </c>
      <c r="AV23" s="16">
        <f>COUNTIF(Groupstage_Losers,"Turkey")</f>
        <v>0</v>
      </c>
      <c r="AW23" s="16">
        <f>AT23-(AU23+AV23)</f>
        <v>0</v>
      </c>
      <c r="AX23" s="16" t="e">
        <f>SUM(Turkey_Played)</f>
        <v>#REF!</v>
      </c>
      <c r="AY23" s="16" t="e">
        <f>SUM(Turkey_Against)</f>
        <v>#REF!</v>
      </c>
      <c r="AZ23" s="16" t="e">
        <f>AX23-AY23</f>
        <v>#REF!</v>
      </c>
      <c r="BA23" s="16">
        <f t="shared" ref="BA23:BA25" si="12">SUM((AU23*3)+(AW23*1))</f>
        <v>0</v>
      </c>
      <c r="BB23" s="16" t="str">
        <f>IF($BA23&lt;=$BA22,$AS23,$AS22)</f>
        <v>4e Poule F</v>
      </c>
      <c r="BC23" s="16">
        <f>VLOOKUP($BB23,$AS22:$BA25,9,FALSE)</f>
        <v>0</v>
      </c>
      <c r="BD23" s="16" t="str">
        <f>IF(BC23&gt;=BC25,BB23,BB25)</f>
        <v>Orion</v>
      </c>
      <c r="BE23" s="16">
        <f>VLOOKUP($BD23,$AS22:$BA25,9,FALSE)</f>
        <v>1</v>
      </c>
      <c r="BF23" s="16" t="e">
        <f>IF($BE23&gt;=$BE24,$BD23,$BD24)</f>
        <v>#REF!</v>
      </c>
      <c r="BG23" s="16" t="e">
        <f>VLOOKUP($BF23,$AS22:$BA25,9,FALSE)</f>
        <v>#REF!</v>
      </c>
      <c r="BH23" s="16" t="e">
        <f>VLOOKUP($BF23,$AS22:$BA25,8,FALSE)</f>
        <v>#REF!</v>
      </c>
      <c r="BI23" s="16" t="e">
        <f>IF(AND($BG22=$BG23,$BH23&gt;$BH22),$BF22,$BF23)</f>
        <v>#REF!</v>
      </c>
      <c r="BJ23" s="16" t="e">
        <f>VLOOKUP($BI23,$AS22:$BA25,9,FALSE)</f>
        <v>#REF!</v>
      </c>
      <c r="BK23" s="16" t="e">
        <f>VLOOKUP($BI23,$AS22:$BA25,8,FALSE)</f>
        <v>#REF!</v>
      </c>
      <c r="BL23" s="16" t="e">
        <f>IF(AND($BJ23=$BJ25,$BK25&gt;$BK23),$BI25,$BI23)</f>
        <v>#REF!</v>
      </c>
      <c r="BM23" s="16" t="e">
        <f>VLOOKUP($BL23,$AS22:$BA25,9,FALSE)</f>
        <v>#REF!</v>
      </c>
      <c r="BN23" s="16" t="e">
        <f>VLOOKUP($BL23,$AS22:$BA25,8,FALSE)</f>
        <v>#REF!</v>
      </c>
      <c r="BO23" s="16" t="e">
        <f>IF(AND($BM23=$BM24,$BN24&gt;$BN23),$BL24,$BL23)</f>
        <v>#REF!</v>
      </c>
      <c r="BP23" s="16" t="e">
        <f>VLOOKUP($BO23,$AS22:$BA25,9,FALSE)</f>
        <v>#REF!</v>
      </c>
      <c r="BQ23" s="16" t="e">
        <f>VLOOKUP($BO23,$AS22:$BA25,8,FALSE)</f>
        <v>#REF!</v>
      </c>
      <c r="BR23" s="16" t="e">
        <f>VLOOKUP($BO23,$AS22:$BA25,6,FALSE)</f>
        <v>#REF!</v>
      </c>
      <c r="BS23" s="16" t="e">
        <f>IF(AND($BP22=$BP23,$BQ22=$BQ23,$BR23&gt;$BR22),$BO22,$BO23)</f>
        <v>#REF!</v>
      </c>
      <c r="BT23" s="16" t="e">
        <f>VLOOKUP($BS23,$AS22:$BA25,9,FALSE)</f>
        <v>#REF!</v>
      </c>
      <c r="BU23" s="16" t="e">
        <f>VLOOKUP($BS23,$AS22:$BA25,8,FALSE)</f>
        <v>#REF!</v>
      </c>
      <c r="BV23" s="16" t="e">
        <f>VLOOKUP($BS23,$AS22:$BA25,6,FALSE)</f>
        <v>#REF!</v>
      </c>
      <c r="BW23" s="16" t="e">
        <f>IF(AND($BT23=$BT25,$BU23=$BU25,$BV25&gt;$BV23),$BS25,$BS23)</f>
        <v>#REF!</v>
      </c>
      <c r="BX23" s="16" t="e">
        <f>VLOOKUP($BW23,$AS22:$BA25,9,FALSE)</f>
        <v>#REF!</v>
      </c>
      <c r="BY23" s="16" t="e">
        <f>VLOOKUP($BW23,$AS22:$BA25,8,FALSE)</f>
        <v>#REF!</v>
      </c>
      <c r="BZ23" s="16" t="e">
        <f>VLOOKUP($BW23,$AS22:$BA25,6,FALSE)</f>
        <v>#REF!</v>
      </c>
      <c r="CA23" s="16" t="e">
        <f>IF(AND($BX23=$BX24,$BY23=$BY24,$BZ24&gt;$BZ23),$BW24,$BW23)</f>
        <v>#REF!</v>
      </c>
      <c r="CB23" s="16" t="e">
        <f>VLOOKUP($CA23,$AS22:$BA25,9,FALSE)</f>
        <v>#REF!</v>
      </c>
      <c r="CC23" s="16" t="e">
        <f>VLOOKUP($CA23,$AS22:$BA25,8,FALSE)</f>
        <v>#REF!</v>
      </c>
      <c r="CD23" s="16" t="e">
        <f>VLOOKUP($CA23,$AS22:$BA25,6,FALSE)</f>
        <v>#REF!</v>
      </c>
      <c r="CH23" s="16" t="e">
        <f>CA23</f>
        <v>#REF!</v>
      </c>
      <c r="CI23" s="16" t="e">
        <f>VLOOKUP($CH23,$AS22:$BA25,2,FALSE)</f>
        <v>#REF!</v>
      </c>
      <c r="CJ23" s="16" t="e">
        <f>VLOOKUP($CH23,$AS22:$BA25,3,FALSE)</f>
        <v>#REF!</v>
      </c>
      <c r="CK23" s="16" t="e">
        <f>VLOOKUP($CH23,$AS22:$BA25,4,FALSE)</f>
        <v>#REF!</v>
      </c>
      <c r="CL23" s="16" t="e">
        <f>VLOOKUP($CH23,$AS22:$BA25,5,FALSE)</f>
        <v>#REF!</v>
      </c>
      <c r="CM23" s="16" t="e">
        <f>VLOOKUP($CH23,$AS22:$BA25,6,FALSE)</f>
        <v>#REF!</v>
      </c>
      <c r="CN23" s="16" t="e">
        <f>VLOOKUP($CH23,$AS22:$BA25,7,FALSE)</f>
        <v>#REF!</v>
      </c>
      <c r="CO23" s="16" t="e">
        <f>VLOOKUP($CH23,$AS22:$BA25,8,FALSE)</f>
        <v>#REF!</v>
      </c>
      <c r="CP23" s="16" t="e">
        <f>VLOOKUP($CH23,$AS22:$BA25,9,FALSE)</f>
        <v>#REF!</v>
      </c>
      <c r="CR23" s="21" t="e">
        <f>#REF!</f>
        <v>#REF!</v>
      </c>
    </row>
    <row r="24" spans="1:96" ht="7.5" customHeight="1" thickBot="1" x14ac:dyDescent="0.25">
      <c r="A24" s="28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P24" s="32"/>
      <c r="R24" s="28"/>
      <c r="AG24" s="32"/>
      <c r="AH24" s="65" t="s">
        <v>138</v>
      </c>
      <c r="AI24" s="63" t="s">
        <v>139</v>
      </c>
      <c r="AJ24" s="63" t="e">
        <f>#REF!</f>
        <v>#REF!</v>
      </c>
      <c r="AK24" s="234" t="e">
        <f>#REF!</f>
        <v>#REF!</v>
      </c>
      <c r="AL24" s="77" t="s">
        <v>120</v>
      </c>
      <c r="AM24" s="56" t="s">
        <v>119</v>
      </c>
      <c r="AN24" s="44" t="s">
        <v>123</v>
      </c>
      <c r="AO24" s="45" t="e">
        <f t="shared" si="4"/>
        <v>#REF!</v>
      </c>
      <c r="AP24" s="45" t="e">
        <f t="shared" si="5"/>
        <v>#REF!</v>
      </c>
      <c r="AQ24" s="45"/>
      <c r="AS24" s="16" t="e">
        <f>EINDRONDE!V16</f>
        <v>#REF!</v>
      </c>
      <c r="AT24" s="16">
        <f>COUNT(China_Played)</f>
        <v>2</v>
      </c>
      <c r="AU24" s="16">
        <f>COUNTIF(Groupstage_Winners,"China")</f>
        <v>0</v>
      </c>
      <c r="AV24" s="16">
        <f>COUNTIF(Groupstage_Losers,"China")</f>
        <v>0</v>
      </c>
      <c r="AW24" s="16">
        <f>AT24-(AU24+AV24)</f>
        <v>2</v>
      </c>
      <c r="AX24" s="16" t="e">
        <f>SUM(China_Played)</f>
        <v>#REF!</v>
      </c>
      <c r="AY24" s="16" t="e">
        <f>SUM(China_Against)</f>
        <v>#REF!</v>
      </c>
      <c r="AZ24" s="16" t="e">
        <f>AX24-AY24</f>
        <v>#REF!</v>
      </c>
      <c r="BA24" s="16">
        <f t="shared" si="12"/>
        <v>2</v>
      </c>
      <c r="BB24" s="16" t="e">
        <f>IF($BA24&gt;=$BA25,$AS24,$AS25)</f>
        <v>#REF!</v>
      </c>
      <c r="BC24" s="16" t="e">
        <f>VLOOKUP($BB24,$AS22:$BA25,9,FALSE)</f>
        <v>#REF!</v>
      </c>
      <c r="BD24" s="16" t="e">
        <f>IF($BC24&lt;=$BC22,$BB24,$BB22)</f>
        <v>#REF!</v>
      </c>
      <c r="BE24" s="16" t="e">
        <f>VLOOKUP($BD24,$AS22:$BA25,9,FALSE)</f>
        <v>#REF!</v>
      </c>
      <c r="BF24" s="16" t="e">
        <f>IF($BE24&lt;=$BE23,$BD24,$BD23)</f>
        <v>#REF!</v>
      </c>
      <c r="BG24" s="16" t="e">
        <f>VLOOKUP($BF24,$AS22:$BA25,9,FALSE)</f>
        <v>#REF!</v>
      </c>
      <c r="BH24" s="16" t="e">
        <f>VLOOKUP($BF24,$AS22:$BA25,8,FALSE)</f>
        <v>#REF!</v>
      </c>
      <c r="BI24" s="16" t="e">
        <f>IF(AND($BG24=$BG25,$BH25&gt;$BH24),$BF25,$BF24)</f>
        <v>#REF!</v>
      </c>
      <c r="BJ24" s="16" t="e">
        <f>VLOOKUP($BI24,$AS22:$BA25,9,FALSE)</f>
        <v>#REF!</v>
      </c>
      <c r="BK24" s="16" t="e">
        <f>VLOOKUP($BI24,$AS22:$BA25,8,FALSE)</f>
        <v>#REF!</v>
      </c>
      <c r="BL24" s="16" t="e">
        <f>IF(AND($BJ22=$BJ24,$BK24&gt;$BK22),$BI22,$BI24)</f>
        <v>#REF!</v>
      </c>
      <c r="BM24" s="16" t="e">
        <f>VLOOKUP($BL24,$AS22:$BA25,9,FALSE)</f>
        <v>#REF!</v>
      </c>
      <c r="BN24" s="16" t="e">
        <f>VLOOKUP($BL24,$AS22:$BA25,8,FALSE)</f>
        <v>#REF!</v>
      </c>
      <c r="BO24" s="16" t="e">
        <f>IF(AND($BM23=$BM24,$BN24&gt;$BN23),$BL23,$BL24)</f>
        <v>#REF!</v>
      </c>
      <c r="BP24" s="16" t="e">
        <f>VLOOKUP($BO24,$AS22:$BA25,9,FALSE)</f>
        <v>#REF!</v>
      </c>
      <c r="BQ24" s="16" t="e">
        <f>VLOOKUP($BO24,$AS22:$BA25,8,FALSE)</f>
        <v>#REF!</v>
      </c>
      <c r="BR24" s="16" t="e">
        <f>VLOOKUP($BO24,$AS22:$BA25,6,FALSE)</f>
        <v>#REF!</v>
      </c>
      <c r="BS24" s="16" t="e">
        <f>IF(AND($BP24=$BP25,$BQ24=$BQ25,$BR25&gt;$BR24),$BO25,$BO24)</f>
        <v>#REF!</v>
      </c>
      <c r="BT24" s="16" t="e">
        <f>VLOOKUP($BS24,$AS22:$BA25,9,FALSE)</f>
        <v>#REF!</v>
      </c>
      <c r="BU24" s="16" t="e">
        <f>VLOOKUP($BS24,$AS22:$BA25,8,FALSE)</f>
        <v>#REF!</v>
      </c>
      <c r="BV24" s="16" t="e">
        <f>VLOOKUP($BS24,$AS22:$BA25,6,FALSE)</f>
        <v>#REF!</v>
      </c>
      <c r="BW24" s="16" t="e">
        <f>IF(AND($BT22=$BT24,$BU22=$BU24,$BV23&gt;$BV22),$BS22,$BS24)</f>
        <v>#REF!</v>
      </c>
      <c r="BX24" s="16" t="e">
        <f>VLOOKUP($BW24,$AS22:$BA25,9,FALSE)</f>
        <v>#REF!</v>
      </c>
      <c r="BY24" s="16" t="e">
        <f>VLOOKUP($BW24,$AS22:$BA25,8,FALSE)</f>
        <v>#REF!</v>
      </c>
      <c r="BZ24" s="16" t="e">
        <f>VLOOKUP($BW24,$AS22:$BA25,6,FALSE)</f>
        <v>#REF!</v>
      </c>
      <c r="CA24" s="16" t="e">
        <f>IF(AND($BX23=$BX24,$BY23=$BY24,$BZ24&gt;$BZ23),$BW23,$BW24)</f>
        <v>#REF!</v>
      </c>
      <c r="CB24" s="16" t="e">
        <f>VLOOKUP($CA24,$AS22:$BA25,9,FALSE)</f>
        <v>#REF!</v>
      </c>
      <c r="CC24" s="16" t="e">
        <f>VLOOKUP($CA24,$AS22:$BA25,8,FALSE)</f>
        <v>#REF!</v>
      </c>
      <c r="CD24" s="16" t="e">
        <f>VLOOKUP($CA24,$AS22:$BA25,6,FALSE)</f>
        <v>#REF!</v>
      </c>
      <c r="CH24" s="16" t="e">
        <f>CA24</f>
        <v>#REF!</v>
      </c>
      <c r="CI24" s="16" t="e">
        <f>VLOOKUP($CH24,$AS22:$BA25,2,FALSE)</f>
        <v>#REF!</v>
      </c>
      <c r="CJ24" s="16" t="e">
        <f>VLOOKUP($CH24,$AS22:$BA25,3,FALSE)</f>
        <v>#REF!</v>
      </c>
      <c r="CK24" s="16" t="e">
        <f>VLOOKUP($CH24,$AS22:$BA25,4,FALSE)</f>
        <v>#REF!</v>
      </c>
      <c r="CL24" s="16" t="e">
        <f>VLOOKUP($CH24,$AS22:$BA25,5,FALSE)</f>
        <v>#REF!</v>
      </c>
      <c r="CM24" s="16" t="e">
        <f>VLOOKUP($CH24,$AS22:$BA25,6,FALSE)</f>
        <v>#REF!</v>
      </c>
      <c r="CN24" s="16" t="e">
        <f>VLOOKUP($CH24,$AS22:$BA25,7,FALSE)</f>
        <v>#REF!</v>
      </c>
      <c r="CO24" s="16" t="e">
        <f>VLOOKUP($CH24,$AS22:$BA25,8,FALSE)</f>
        <v>#REF!</v>
      </c>
      <c r="CP24" s="16" t="e">
        <f>VLOOKUP($CH24,$AS22:$BA25,9,FALSE)</f>
        <v>#REF!</v>
      </c>
      <c r="CR24" s="21" t="e">
        <f>#REF!</f>
        <v>#REF!</v>
      </c>
    </row>
    <row r="25" spans="1:96" s="145" customFormat="1" ht="9.75" customHeight="1" thickBot="1" x14ac:dyDescent="0.25">
      <c r="A25" s="246" t="s">
        <v>85</v>
      </c>
      <c r="B25" s="339"/>
      <c r="C25" s="339"/>
      <c r="D25" s="124" t="s">
        <v>86</v>
      </c>
      <c r="E25" s="124"/>
      <c r="F25" s="124"/>
      <c r="G25" s="124"/>
      <c r="H25" s="124"/>
      <c r="I25" s="515" t="s">
        <v>15</v>
      </c>
      <c r="J25" s="515"/>
      <c r="K25" s="515"/>
      <c r="L25" s="526"/>
      <c r="M25" s="526"/>
      <c r="N25" s="526"/>
      <c r="O25" s="526"/>
      <c r="P25" s="527"/>
      <c r="Q25" s="24"/>
      <c r="R25" s="246" t="s">
        <v>85</v>
      </c>
      <c r="S25" s="339"/>
      <c r="T25" s="339"/>
      <c r="U25" s="124" t="s">
        <v>86</v>
      </c>
      <c r="V25" s="124"/>
      <c r="W25" s="124"/>
      <c r="X25" s="124"/>
      <c r="Y25" s="124"/>
      <c r="Z25" s="515" t="s">
        <v>15</v>
      </c>
      <c r="AA25" s="515"/>
      <c r="AB25" s="515"/>
      <c r="AC25" s="526"/>
      <c r="AD25" s="526"/>
      <c r="AE25" s="526"/>
      <c r="AF25" s="526"/>
      <c r="AG25" s="527"/>
      <c r="AH25" s="139" t="s">
        <v>136</v>
      </c>
      <c r="AI25" s="140" t="s">
        <v>135</v>
      </c>
      <c r="AJ25" s="140">
        <f>I45</f>
        <v>0</v>
      </c>
      <c r="AK25" s="235">
        <f>K45</f>
        <v>0</v>
      </c>
      <c r="AL25" s="141" t="s">
        <v>144</v>
      </c>
      <c r="AM25" s="142" t="s">
        <v>145</v>
      </c>
      <c r="AN25" s="143" t="s">
        <v>137</v>
      </c>
      <c r="AO25" s="144" t="str">
        <f t="shared" si="4"/>
        <v>Draw</v>
      </c>
      <c r="AP25" s="144" t="str">
        <f t="shared" si="5"/>
        <v>Draw</v>
      </c>
      <c r="AQ25" s="144"/>
      <c r="AS25" s="16" t="str">
        <f>EINDRONDE!V17</f>
        <v>Orion</v>
      </c>
      <c r="AT25" s="145">
        <f>COUNT(Costa_Rica_Played)</f>
        <v>1</v>
      </c>
      <c r="AU25" s="145">
        <f>COUNTIF(Groupstage_Winners,"Costa Rica")</f>
        <v>0</v>
      </c>
      <c r="AV25" s="145">
        <f>COUNTIF(Groupstage_Losers,"Costa Rica")</f>
        <v>0</v>
      </c>
      <c r="AW25" s="145">
        <f>AT25-(AU25+AV25)</f>
        <v>1</v>
      </c>
      <c r="AX25" s="145" t="e">
        <f>SUM(Costa_Rica_Played)</f>
        <v>#REF!</v>
      </c>
      <c r="AY25" s="145" t="e">
        <f>SUM(Costa_Rica_Against)</f>
        <v>#REF!</v>
      </c>
      <c r="AZ25" s="145" t="e">
        <f>AX25-AY25</f>
        <v>#REF!</v>
      </c>
      <c r="BA25" s="16">
        <f t="shared" si="12"/>
        <v>1</v>
      </c>
      <c r="BB25" s="145" t="str">
        <f>IF($BA25&lt;=$BA24,$AS25,$AS24)</f>
        <v>Orion</v>
      </c>
      <c r="BC25" s="145">
        <f>VLOOKUP($BB25,$AS22:$BA25,9,FALSE)</f>
        <v>1</v>
      </c>
      <c r="BD25" s="145" t="str">
        <f>IF(BC25&lt;=BC23,BB25,BB23)</f>
        <v>4e Poule F</v>
      </c>
      <c r="BE25" s="145">
        <f>VLOOKUP($BD25,$AS22:$BA25,9,FALSE)</f>
        <v>0</v>
      </c>
      <c r="BF25" s="145" t="e">
        <f>IF($BE25&lt;=$BE22,$BD25,$BD22)</f>
        <v>#REF!</v>
      </c>
      <c r="BG25" s="145" t="e">
        <f>VLOOKUP($BF25,$AS22:$BA25,9,FALSE)</f>
        <v>#REF!</v>
      </c>
      <c r="BH25" s="145" t="e">
        <f>VLOOKUP($BF25,$AS22:$BA25,8,FALSE)</f>
        <v>#REF!</v>
      </c>
      <c r="BI25" s="145" t="e">
        <f>IF(AND($BG24=$BG25,$BH25&gt;$BH24),$BF24,$BF25)</f>
        <v>#REF!</v>
      </c>
      <c r="BJ25" s="145" t="e">
        <f>VLOOKUP($BI25,$AS22:$BA25,9,FALSE)</f>
        <v>#REF!</v>
      </c>
      <c r="BK25" s="145" t="e">
        <f>VLOOKUP($BI25,$AS22:$BA25,8,FALSE)</f>
        <v>#REF!</v>
      </c>
      <c r="BL25" s="145" t="e">
        <f>IF(AND($BJ23=$BJ25,$BK25&gt;$BK23),$BI23,$BI25)</f>
        <v>#REF!</v>
      </c>
      <c r="BM25" s="145" t="e">
        <f>VLOOKUP($BL25,$AS22:$BA25,9,FALSE)</f>
        <v>#REF!</v>
      </c>
      <c r="BN25" s="145" t="e">
        <f>VLOOKUP($BL25,$AS22:$BA25,8,FALSE)</f>
        <v>#REF!</v>
      </c>
      <c r="BO25" s="145" t="e">
        <f>IF(AND($BM22=$BM25,$BN25&gt;$BN22),$BL22,$BL25)</f>
        <v>#REF!</v>
      </c>
      <c r="BP25" s="145" t="e">
        <f>VLOOKUP($BO25,$AS22:$BA25,9,FALSE)</f>
        <v>#REF!</v>
      </c>
      <c r="BQ25" s="145" t="e">
        <f>VLOOKUP($BO25,$AS22:$BA25,8,FALSE)</f>
        <v>#REF!</v>
      </c>
      <c r="BR25" s="145" t="e">
        <f>VLOOKUP($BO25,$AS22:$BA25,6,FALSE)</f>
        <v>#REF!</v>
      </c>
      <c r="BS25" s="145" t="e">
        <f>IF(AND($BP24=$BP25,$BQ24=$BQ25,$BR25&gt;$BR24),$BO24,$BO25)</f>
        <v>#REF!</v>
      </c>
      <c r="BT25" s="145" t="e">
        <f>VLOOKUP($BS25,$AS22:$BA25,9,FALSE)</f>
        <v>#REF!</v>
      </c>
      <c r="BU25" s="145" t="e">
        <f>VLOOKUP($BS25,$AS22:$BA25,8,FALSE)</f>
        <v>#REF!</v>
      </c>
      <c r="BV25" s="145" t="e">
        <f>VLOOKUP($BS25,$AS22:$BA25,6,FALSE)</f>
        <v>#REF!</v>
      </c>
      <c r="BW25" s="145" t="e">
        <f>IF(AND($BT23=$BT25,$BU23=$BU25,$BV25&gt;$BV23),$BS23,$BS25)</f>
        <v>#REF!</v>
      </c>
      <c r="BX25" s="145" t="e">
        <f>VLOOKUP($BW25,$AS22:$BA25,9,FALSE)</f>
        <v>#REF!</v>
      </c>
      <c r="BY25" s="145" t="e">
        <f>VLOOKUP($BW25,$AS22:$BA25,8,FALSE)</f>
        <v>#REF!</v>
      </c>
      <c r="BZ25" s="145" t="e">
        <f>VLOOKUP($BW25,$AS22:$BA25,6,FALSE)</f>
        <v>#REF!</v>
      </c>
      <c r="CA25" s="145" t="e">
        <f>IF(AND($BX22=$BX25,$BY22=$BY25,$BZ25&gt;$BZ22),$BW22,$BW25)</f>
        <v>#REF!</v>
      </c>
      <c r="CB25" s="145" t="e">
        <f>VLOOKUP($CA25,$AS22:$BA25,9,FALSE)</f>
        <v>#REF!</v>
      </c>
      <c r="CC25" s="145" t="e">
        <f>VLOOKUP($CA25,$AS22:$BA25,8,FALSE)</f>
        <v>#REF!</v>
      </c>
      <c r="CD25" s="145" t="e">
        <f>VLOOKUP($CA25,$AS22:$BA25,6,FALSE)</f>
        <v>#REF!</v>
      </c>
      <c r="CH25" s="145" t="e">
        <f>CA25</f>
        <v>#REF!</v>
      </c>
      <c r="CI25" s="145" t="e">
        <f>VLOOKUP($CH25,$AS22:$BA25,2,FALSE)</f>
        <v>#REF!</v>
      </c>
      <c r="CJ25" s="145" t="e">
        <f>VLOOKUP($CH25,$AS22:$BA25,3,FALSE)</f>
        <v>#REF!</v>
      </c>
      <c r="CK25" s="145" t="e">
        <f>VLOOKUP($CH25,$AS22:$BA25,4,FALSE)</f>
        <v>#REF!</v>
      </c>
      <c r="CL25" s="145" t="e">
        <f>VLOOKUP($CH25,$AS22:$BA25,5,FALSE)</f>
        <v>#REF!</v>
      </c>
      <c r="CM25" s="145" t="e">
        <f>VLOOKUP($CH25,$AS22:$BA25,6,FALSE)</f>
        <v>#REF!</v>
      </c>
      <c r="CN25" s="145" t="e">
        <f>VLOOKUP($CH25,$AS22:$BA25,7,FALSE)</f>
        <v>#REF!</v>
      </c>
      <c r="CO25" s="145" t="e">
        <f>VLOOKUP($CH25,$AS22:$BA25,8,FALSE)</f>
        <v>#REF!</v>
      </c>
      <c r="CP25" s="145" t="e">
        <f>VLOOKUP($CH25,$AS22:$BA25,9,FALSE)</f>
        <v>#REF!</v>
      </c>
      <c r="CR25" s="146" t="e">
        <f>#REF!</f>
        <v>#REF!</v>
      </c>
    </row>
    <row r="26" spans="1:96" ht="12.95" customHeight="1" thickBot="1" x14ac:dyDescent="0.25">
      <c r="A26" s="520">
        <f>START!C17</f>
        <v>0.59375</v>
      </c>
      <c r="B26" s="518"/>
      <c r="C26" s="283"/>
      <c r="D26" s="337" t="str">
        <f>AS22</f>
        <v>6e Beste nrs. 3</v>
      </c>
      <c r="E26" s="283" t="s">
        <v>16</v>
      </c>
      <c r="F26" s="518" t="str">
        <f>AS23</f>
        <v>4e Poule F</v>
      </c>
      <c r="G26" s="518"/>
      <c r="H26" s="518"/>
      <c r="I26" s="165" t="str">
        <f>KWALIFICATIE!AD86</f>
        <v>…</v>
      </c>
      <c r="J26" s="334" t="s">
        <v>16</v>
      </c>
      <c r="K26" s="166" t="str">
        <f>KWALIFICATIE!AF86</f>
        <v>…</v>
      </c>
      <c r="L26" s="518"/>
      <c r="M26" s="518"/>
      <c r="N26" s="518"/>
      <c r="O26" s="518"/>
      <c r="P26" s="519"/>
      <c r="Q26" s="118"/>
      <c r="R26" s="520">
        <f>START!C17</f>
        <v>0.59375</v>
      </c>
      <c r="S26" s="518"/>
      <c r="T26" s="283"/>
      <c r="U26" s="337" t="str">
        <f>AS29</f>
        <v>7e Beste nrs. 3</v>
      </c>
      <c r="V26" s="283" t="s">
        <v>16</v>
      </c>
      <c r="W26" s="518" t="str">
        <f>AS30</f>
        <v>10e Beste nrs. 3</v>
      </c>
      <c r="X26" s="518"/>
      <c r="Y26" s="518"/>
      <c r="Z26" s="165" t="str">
        <f>KWALIFICATIE!AD92</f>
        <v>…</v>
      </c>
      <c r="AA26" s="334" t="s">
        <v>16</v>
      </c>
      <c r="AB26" s="166" t="str">
        <f>KWALIFICATIE!AF92</f>
        <v>…</v>
      </c>
      <c r="AC26" s="518"/>
      <c r="AD26" s="518"/>
      <c r="AE26" s="518"/>
      <c r="AF26" s="518"/>
      <c r="AG26" s="519"/>
      <c r="AH26" s="65" t="s">
        <v>122</v>
      </c>
      <c r="AI26" s="63" t="s">
        <v>121</v>
      </c>
      <c r="AJ26" s="63" t="e">
        <f>#REF!</f>
        <v>#REF!</v>
      </c>
      <c r="AK26" s="234" t="e">
        <f>#REF!</f>
        <v>#REF!</v>
      </c>
      <c r="AL26" s="77" t="s">
        <v>140</v>
      </c>
      <c r="AM26" s="56" t="s">
        <v>141</v>
      </c>
      <c r="AN26" s="44" t="s">
        <v>123</v>
      </c>
      <c r="AO26" s="45" t="e">
        <f t="shared" si="4"/>
        <v>#REF!</v>
      </c>
      <c r="AP26" s="45" t="e">
        <f t="shared" si="5"/>
        <v>#REF!</v>
      </c>
      <c r="AQ26" s="45"/>
      <c r="CR26" s="21" t="e">
        <f>#REF!</f>
        <v>#REF!</v>
      </c>
    </row>
    <row r="27" spans="1:96" ht="12.95" customHeight="1" thickBot="1" x14ac:dyDescent="0.25">
      <c r="A27" s="520">
        <f>A26</f>
        <v>0.59375</v>
      </c>
      <c r="B27" s="518"/>
      <c r="C27" s="283"/>
      <c r="D27" s="24" t="e">
        <f>AS24</f>
        <v>#REF!</v>
      </c>
      <c r="E27" s="283" t="s">
        <v>16</v>
      </c>
      <c r="F27" s="518" t="str">
        <f>AS25</f>
        <v>Orion</v>
      </c>
      <c r="G27" s="518"/>
      <c r="H27" s="518"/>
      <c r="I27" s="165">
        <f>EINDRONDE!AD25</f>
        <v>1</v>
      </c>
      <c r="J27" s="334" t="s">
        <v>16</v>
      </c>
      <c r="K27" s="166">
        <f>EINDRONDE!AF25</f>
        <v>1</v>
      </c>
      <c r="L27" s="518"/>
      <c r="M27" s="518"/>
      <c r="N27" s="518"/>
      <c r="O27" s="518"/>
      <c r="P27" s="519"/>
      <c r="Q27" s="118"/>
      <c r="R27" s="520">
        <f>R26</f>
        <v>0.59375</v>
      </c>
      <c r="S27" s="518"/>
      <c r="T27" s="283"/>
      <c r="U27" s="24" t="e">
        <f>AS31</f>
        <v>#REF!</v>
      </c>
      <c r="V27" s="283" t="s">
        <v>16</v>
      </c>
      <c r="W27" s="518" t="e">
        <f>AS33</f>
        <v>#REF!</v>
      </c>
      <c r="X27" s="518"/>
      <c r="Y27" s="518"/>
      <c r="Z27" s="165" t="str">
        <f>KWALIFICATIE!AD93</f>
        <v>…</v>
      </c>
      <c r="AA27" s="334" t="s">
        <v>16</v>
      </c>
      <c r="AB27" s="166" t="str">
        <f>KWALIFICATIE!AF93</f>
        <v>…</v>
      </c>
      <c r="AC27" s="518"/>
      <c r="AD27" s="518"/>
      <c r="AE27" s="518"/>
      <c r="AF27" s="518"/>
      <c r="AG27" s="519"/>
      <c r="AH27" s="65" t="s">
        <v>149</v>
      </c>
      <c r="AI27" s="63" t="s">
        <v>148</v>
      </c>
      <c r="AJ27" s="63">
        <f>Z45</f>
        <v>0</v>
      </c>
      <c r="AK27" s="234">
        <f>AB45</f>
        <v>0</v>
      </c>
      <c r="AL27" s="77" t="s">
        <v>157</v>
      </c>
      <c r="AM27" s="47" t="s">
        <v>158</v>
      </c>
      <c r="AN27" s="44" t="s">
        <v>127</v>
      </c>
      <c r="AO27" s="45" t="str">
        <f t="shared" si="4"/>
        <v>Draw</v>
      </c>
      <c r="AP27" s="45" t="str">
        <f t="shared" si="5"/>
        <v>Draw</v>
      </c>
      <c r="AQ27" s="45"/>
      <c r="AS27" s="16" t="s">
        <v>203</v>
      </c>
      <c r="CR27" s="21" t="e">
        <f>#REF!</f>
        <v>#REF!</v>
      </c>
    </row>
    <row r="28" spans="1:96" ht="12.95" customHeight="1" thickBot="1" x14ac:dyDescent="0.25">
      <c r="A28" s="520">
        <f>START!C20</f>
        <v>0.625</v>
      </c>
      <c r="B28" s="518"/>
      <c r="C28" s="283"/>
      <c r="D28" s="24" t="str">
        <f>AS22</f>
        <v>6e Beste nrs. 3</v>
      </c>
      <c r="E28" s="283" t="s">
        <v>16</v>
      </c>
      <c r="F28" s="518" t="e">
        <f>AS24</f>
        <v>#REF!</v>
      </c>
      <c r="G28" s="518"/>
      <c r="H28" s="518"/>
      <c r="I28" s="165">
        <f>EINDRONDE!AD47</f>
        <v>1</v>
      </c>
      <c r="J28" s="334" t="s">
        <v>16</v>
      </c>
      <c r="K28" s="166">
        <f>EINDRONDE!AF47</f>
        <v>1</v>
      </c>
      <c r="L28" s="518"/>
      <c r="M28" s="518"/>
      <c r="N28" s="518"/>
      <c r="O28" s="518"/>
      <c r="P28" s="519"/>
      <c r="Q28" s="118"/>
      <c r="R28" s="520">
        <f>START!C21</f>
        <v>0.63541666666666663</v>
      </c>
      <c r="S28" s="518"/>
      <c r="T28" s="283"/>
      <c r="U28" s="24" t="str">
        <f>AS29</f>
        <v>7e Beste nrs. 3</v>
      </c>
      <c r="V28" s="283" t="s">
        <v>16</v>
      </c>
      <c r="W28" s="518" t="e">
        <f>AS31</f>
        <v>#REF!</v>
      </c>
      <c r="X28" s="518"/>
      <c r="Y28" s="518"/>
      <c r="Z28" s="165">
        <f>EINDRONDE!AD49</f>
        <v>0</v>
      </c>
      <c r="AA28" s="334" t="s">
        <v>16</v>
      </c>
      <c r="AB28" s="166">
        <f>EINDRONDE!AF49</f>
        <v>0</v>
      </c>
      <c r="AC28" s="518"/>
      <c r="AD28" s="518"/>
      <c r="AE28" s="518"/>
      <c r="AF28" s="518"/>
      <c r="AG28" s="519"/>
      <c r="AH28" s="65" t="s">
        <v>160</v>
      </c>
      <c r="AI28" s="63" t="s">
        <v>161</v>
      </c>
      <c r="AJ28" s="63" t="e">
        <f>#REF!</f>
        <v>#REF!</v>
      </c>
      <c r="AK28" s="234" t="e">
        <f>#REF!</f>
        <v>#REF!</v>
      </c>
      <c r="AL28" s="77" t="s">
        <v>151</v>
      </c>
      <c r="AM28" s="47" t="s">
        <v>150</v>
      </c>
      <c r="AN28" s="44" t="s">
        <v>154</v>
      </c>
      <c r="AO28" s="45" t="e">
        <f t="shared" si="4"/>
        <v>#REF!</v>
      </c>
      <c r="AP28" s="45" t="e">
        <f t="shared" si="5"/>
        <v>#REF!</v>
      </c>
      <c r="AQ28" s="45"/>
      <c r="AT28" s="16" t="s">
        <v>124</v>
      </c>
      <c r="AU28" s="16" t="s">
        <v>110</v>
      </c>
      <c r="AV28" s="16" t="s">
        <v>125</v>
      </c>
      <c r="AW28" s="16" t="s">
        <v>126</v>
      </c>
      <c r="AX28" s="16" t="s">
        <v>127</v>
      </c>
      <c r="AY28" s="16" t="s">
        <v>123</v>
      </c>
      <c r="AZ28" s="16" t="s">
        <v>128</v>
      </c>
      <c r="BA28" s="16" t="s">
        <v>129</v>
      </c>
      <c r="CR28" s="21" t="e">
        <f>#REF!</f>
        <v>#REF!</v>
      </c>
    </row>
    <row r="29" spans="1:96" ht="12.95" customHeight="1" thickBot="1" x14ac:dyDescent="0.25">
      <c r="A29" s="520">
        <f>A28</f>
        <v>0.625</v>
      </c>
      <c r="B29" s="518"/>
      <c r="C29" s="283"/>
      <c r="D29" s="24" t="str">
        <f>AS25</f>
        <v>Orion</v>
      </c>
      <c r="E29" s="283" t="s">
        <v>16</v>
      </c>
      <c r="F29" s="518" t="str">
        <f>AS23</f>
        <v>4e Poule F</v>
      </c>
      <c r="G29" s="518"/>
      <c r="H29" s="518"/>
      <c r="I29" s="165" t="e">
        <f>EINDRONDE!#REF!</f>
        <v>#REF!</v>
      </c>
      <c r="J29" s="334" t="s">
        <v>16</v>
      </c>
      <c r="K29" s="166" t="e">
        <f>EINDRONDE!#REF!</f>
        <v>#REF!</v>
      </c>
      <c r="L29" s="518"/>
      <c r="M29" s="518"/>
      <c r="N29" s="518"/>
      <c r="O29" s="518"/>
      <c r="P29" s="519"/>
      <c r="Q29" s="118"/>
      <c r="R29" s="520">
        <f>R28</f>
        <v>0.63541666666666663</v>
      </c>
      <c r="S29" s="518"/>
      <c r="T29" s="283"/>
      <c r="U29" s="24" t="e">
        <f>AS33</f>
        <v>#REF!</v>
      </c>
      <c r="V29" s="283" t="s">
        <v>16</v>
      </c>
      <c r="W29" s="518" t="str">
        <f>AS30</f>
        <v>10e Beste nrs. 3</v>
      </c>
      <c r="X29" s="518"/>
      <c r="Y29" s="518"/>
      <c r="Z29" s="165">
        <f>EINDRONDE!AD50</f>
        <v>0</v>
      </c>
      <c r="AA29" s="334" t="s">
        <v>16</v>
      </c>
      <c r="AB29" s="166">
        <f>EINDRONDE!AF50</f>
        <v>0</v>
      </c>
      <c r="AC29" s="518"/>
      <c r="AD29" s="518"/>
      <c r="AE29" s="518"/>
      <c r="AF29" s="518"/>
      <c r="AG29" s="519"/>
      <c r="AH29" s="65" t="s">
        <v>155</v>
      </c>
      <c r="AI29" s="63" t="s">
        <v>156</v>
      </c>
      <c r="AJ29" s="63">
        <f>Z44</f>
        <v>0</v>
      </c>
      <c r="AK29" s="234">
        <f>AB44</f>
        <v>0</v>
      </c>
      <c r="AL29" s="77" t="s">
        <v>147</v>
      </c>
      <c r="AM29" s="47" t="s">
        <v>146</v>
      </c>
      <c r="AN29" s="44" t="s">
        <v>127</v>
      </c>
      <c r="AO29" s="45" t="str">
        <f t="shared" si="4"/>
        <v>Draw</v>
      </c>
      <c r="AP29" s="45" t="str">
        <f t="shared" si="5"/>
        <v>Draw</v>
      </c>
      <c r="AQ29" s="45"/>
      <c r="AS29" s="16" t="str">
        <f>EINDRONDE!AB14</f>
        <v>7e Beste nrs. 3</v>
      </c>
      <c r="AT29" s="16">
        <f>COUNT(South_Korea_Played)</f>
        <v>1</v>
      </c>
      <c r="AU29" s="16">
        <f>COUNTIF(Groupstage_Winners,"South Korea")</f>
        <v>0</v>
      </c>
      <c r="AV29" s="16">
        <f>COUNTIF(Groupstage_Losers,"South Korea")</f>
        <v>0</v>
      </c>
      <c r="AW29" s="16">
        <f>AT29-(AU29+AV29)</f>
        <v>1</v>
      </c>
      <c r="AX29" s="16" t="e">
        <f>SUM(South_Korea_Played)</f>
        <v>#REF!</v>
      </c>
      <c r="AY29" s="16" t="e">
        <f>SUM(South_Korea_Against)</f>
        <v>#REF!</v>
      </c>
      <c r="AZ29" s="16" t="e">
        <f>AX29-AY29</f>
        <v>#REF!</v>
      </c>
      <c r="BA29" s="16">
        <f>SUM((AU29*3)+(AW29*1))</f>
        <v>1</v>
      </c>
      <c r="BB29" s="16" t="str">
        <f>IF($BA29&gt;=$BA30,$AS29,$AS30)</f>
        <v>7e Beste nrs. 3</v>
      </c>
      <c r="BC29" s="16">
        <f>VLOOKUP($BB29,$AS29:$BA33,9,FALSE)</f>
        <v>1</v>
      </c>
      <c r="BD29" s="16" t="e">
        <f>IF($BC29&gt;=$BC31,$BB29,$BB31)</f>
        <v>#REF!</v>
      </c>
      <c r="BE29" s="16" t="e">
        <f>VLOOKUP($BD29,$AS29:$BA33,9,FALSE)</f>
        <v>#REF!</v>
      </c>
      <c r="BF29" s="16" t="e">
        <f>IF($BE29&gt;=$BE33,$BD29,$BD33)</f>
        <v>#REF!</v>
      </c>
      <c r="BG29" s="16" t="e">
        <f>VLOOKUP($BF29,$AS29:$BA33,9,FALSE)</f>
        <v>#REF!</v>
      </c>
      <c r="BH29" s="16" t="e">
        <f>VLOOKUP($BF29,$AS29:$BA33,8,FALSE)</f>
        <v>#REF!</v>
      </c>
      <c r="BI29" s="16" t="e">
        <f>IF(AND($BG29=$BG30,$BH30&gt;$BH29),$BF30,$BF29)</f>
        <v>#REF!</v>
      </c>
      <c r="BJ29" s="16" t="e">
        <f>VLOOKUP($BI29,$AS29:$BA33,9,FALSE)</f>
        <v>#REF!</v>
      </c>
      <c r="BK29" s="16" t="e">
        <f>VLOOKUP($BI29,$AS29:$BA33,8,FALSE)</f>
        <v>#REF!</v>
      </c>
      <c r="BL29" s="16" t="e">
        <f>IF(AND($BJ29=$BJ31,$BK31&gt;$BK29),$BI31,$BI29)</f>
        <v>#REF!</v>
      </c>
      <c r="BM29" s="16" t="e">
        <f>VLOOKUP($BL29,$AS29:$BA33,9,FALSE)</f>
        <v>#REF!</v>
      </c>
      <c r="BN29" s="16" t="e">
        <f>VLOOKUP($BL29,$AS29:$BA33,8,FALSE)</f>
        <v>#REF!</v>
      </c>
      <c r="BO29" s="16" t="e">
        <f>IF(AND($BM29=$BM33,$BN33&gt;$BN29),$BL33,$BL29)</f>
        <v>#REF!</v>
      </c>
      <c r="BP29" s="16" t="e">
        <f>VLOOKUP($BO29,$AS29:$BA33,9,FALSE)</f>
        <v>#REF!</v>
      </c>
      <c r="BQ29" s="16" t="e">
        <f>VLOOKUP($BO29,$AS29:$BA33,8,FALSE)</f>
        <v>#REF!</v>
      </c>
      <c r="BR29" s="16" t="e">
        <f>VLOOKUP($BO29,$AS29:$BA33,6,FALSE)</f>
        <v>#REF!</v>
      </c>
      <c r="BS29" s="16" t="e">
        <f>IF(AND($BP29=$BP30,$BQ29=$BQ30,$BR30&gt;$BR29),$BO30,$BO29)</f>
        <v>#REF!</v>
      </c>
      <c r="BT29" s="16" t="e">
        <f>VLOOKUP($BS29,$AS29:$BA33,9,FALSE)</f>
        <v>#REF!</v>
      </c>
      <c r="BU29" s="16" t="e">
        <f>VLOOKUP($BS29,$AS29:$BA33,8,FALSE)</f>
        <v>#REF!</v>
      </c>
      <c r="BV29" s="16" t="e">
        <f>VLOOKUP($BS29,$AS29:$BA33,6,FALSE)</f>
        <v>#REF!</v>
      </c>
      <c r="BW29" s="16" t="e">
        <f>IF(AND($BT29=$BT31,$BU29=$BU31,$BV31&gt;$BV29),$BS31,$BS29)</f>
        <v>#REF!</v>
      </c>
      <c r="BX29" s="16" t="e">
        <f>VLOOKUP($BW29,$AS29:$BA33,9,FALSE)</f>
        <v>#REF!</v>
      </c>
      <c r="BY29" s="16" t="e">
        <f>VLOOKUP($BW29,$AS29:$BA33,8,FALSE)</f>
        <v>#REF!</v>
      </c>
      <c r="BZ29" s="16" t="e">
        <f>VLOOKUP($BW29,$AS29:$BA33,6,FALSE)</f>
        <v>#REF!</v>
      </c>
      <c r="CA29" s="16" t="e">
        <f>IF(AND($BX29=$BX33,$BY29=$BY33,$BZ33&gt;$BZ29),$BW33,$BW29)</f>
        <v>#REF!</v>
      </c>
      <c r="CB29" s="16" t="e">
        <f>VLOOKUP($CA29,$AS29:$BA33,9,FALSE)</f>
        <v>#REF!</v>
      </c>
      <c r="CC29" s="16" t="e">
        <f>VLOOKUP($CA29,$AS29:$BA33,8,FALSE)</f>
        <v>#REF!</v>
      </c>
      <c r="CD29" s="16" t="e">
        <f>VLOOKUP($CA29,$AS29:$BA33,6,FALSE)</f>
        <v>#REF!</v>
      </c>
      <c r="CH29" s="16" t="e">
        <f>CA29</f>
        <v>#REF!</v>
      </c>
      <c r="CI29" s="16" t="e">
        <f>VLOOKUP($CH29,$AS29:$BA33,2,FALSE)</f>
        <v>#REF!</v>
      </c>
      <c r="CJ29" s="16" t="e">
        <f>VLOOKUP($CH29,$AS29:$BA33,3,FALSE)</f>
        <v>#REF!</v>
      </c>
      <c r="CK29" s="16" t="e">
        <f>VLOOKUP($CH29,$AS29:$BA33,4,FALSE)</f>
        <v>#REF!</v>
      </c>
      <c r="CL29" s="16" t="e">
        <f>VLOOKUP($CH29,$AS29:$BA33,5,FALSE)</f>
        <v>#REF!</v>
      </c>
      <c r="CM29" s="16" t="e">
        <f>VLOOKUP($CH29,$AS29:$BA33,6,FALSE)</f>
        <v>#REF!</v>
      </c>
      <c r="CN29" s="16" t="e">
        <f>VLOOKUP($CH29,$AS29:$BA33,7,FALSE)</f>
        <v>#REF!</v>
      </c>
      <c r="CO29" s="16" t="e">
        <f>VLOOKUP($CH29,$AS29:$BA33,8,FALSE)</f>
        <v>#REF!</v>
      </c>
      <c r="CP29" s="16" t="e">
        <f>VLOOKUP($CH29,$AS29:$BA33,9,FALSE)</f>
        <v>#REF!</v>
      </c>
      <c r="CR29" s="21" t="e">
        <f>#REF!</f>
        <v>#REF!</v>
      </c>
    </row>
    <row r="30" spans="1:96" ht="12.95" customHeight="1" thickBot="1" x14ac:dyDescent="0.25">
      <c r="A30" s="520">
        <f>START!C24</f>
        <v>0.66666666666666663</v>
      </c>
      <c r="B30" s="518"/>
      <c r="C30" s="283"/>
      <c r="D30" s="24" t="str">
        <f>AS23</f>
        <v>4e Poule F</v>
      </c>
      <c r="E30" s="283" t="s">
        <v>16</v>
      </c>
      <c r="F30" s="518" t="e">
        <f>AS24</f>
        <v>#REF!</v>
      </c>
      <c r="G30" s="518"/>
      <c r="H30" s="518"/>
      <c r="I30" s="165" t="e">
        <f>EINDRONDE!#REF!</f>
        <v>#REF!</v>
      </c>
      <c r="J30" s="334" t="s">
        <v>16</v>
      </c>
      <c r="K30" s="166" t="e">
        <f>EINDRONDE!#REF!</f>
        <v>#REF!</v>
      </c>
      <c r="L30" s="518"/>
      <c r="M30" s="518"/>
      <c r="N30" s="518"/>
      <c r="O30" s="518"/>
      <c r="P30" s="519"/>
      <c r="Q30" s="118"/>
      <c r="R30" s="520">
        <f>START!C24</f>
        <v>0.66666666666666663</v>
      </c>
      <c r="S30" s="518"/>
      <c r="T30" s="283"/>
      <c r="U30" s="24" t="str">
        <f>AS30</f>
        <v>10e Beste nrs. 3</v>
      </c>
      <c r="V30" s="283" t="s">
        <v>16</v>
      </c>
      <c r="W30" s="518" t="e">
        <f>AS31</f>
        <v>#REF!</v>
      </c>
      <c r="X30" s="518"/>
      <c r="Y30" s="518"/>
      <c r="Z30" s="165" t="e">
        <f>EINDRONDE!#REF!</f>
        <v>#REF!</v>
      </c>
      <c r="AA30" s="334" t="s">
        <v>16</v>
      </c>
      <c r="AB30" s="166" t="e">
        <f>EINDRONDE!#REF!</f>
        <v>#REF!</v>
      </c>
      <c r="AC30" s="518"/>
      <c r="AD30" s="518"/>
      <c r="AE30" s="518"/>
      <c r="AF30" s="518"/>
      <c r="AG30" s="519"/>
      <c r="AH30" s="65" t="s">
        <v>153</v>
      </c>
      <c r="AI30" s="63" t="s">
        <v>152</v>
      </c>
      <c r="AJ30" s="63" t="e">
        <f>#REF!</f>
        <v>#REF!</v>
      </c>
      <c r="AK30" s="234" t="e">
        <f>#REF!</f>
        <v>#REF!</v>
      </c>
      <c r="AL30" s="77" t="s">
        <v>162</v>
      </c>
      <c r="AM30" s="47" t="s">
        <v>163</v>
      </c>
      <c r="AN30" s="44" t="s">
        <v>154</v>
      </c>
      <c r="AO30" s="45" t="e">
        <f t="shared" si="4"/>
        <v>#REF!</v>
      </c>
      <c r="AP30" s="45" t="e">
        <f t="shared" si="5"/>
        <v>#REF!</v>
      </c>
      <c r="AQ30" s="45"/>
      <c r="AS30" s="16" t="str">
        <f>EINDRONDE!AB15</f>
        <v>10e Beste nrs. 3</v>
      </c>
      <c r="AT30" s="16">
        <f>COUNT(Poland_Played)</f>
        <v>1</v>
      </c>
      <c r="AU30" s="16">
        <f>COUNTIF(Groupstage_Winners,"Poland")</f>
        <v>0</v>
      </c>
      <c r="AV30" s="16">
        <f>COUNTIF(Groupstage_Losers,"Poland")</f>
        <v>0</v>
      </c>
      <c r="AW30" s="16">
        <f>AT30-(AU30+AV30)</f>
        <v>1</v>
      </c>
      <c r="AX30" s="16" t="e">
        <f>SUM(Poland_Played)</f>
        <v>#REF!</v>
      </c>
      <c r="AY30" s="16" t="e">
        <f>SUM(Poland_Against)</f>
        <v>#REF!</v>
      </c>
      <c r="AZ30" s="16" t="e">
        <f>AX30-AY30</f>
        <v>#REF!</v>
      </c>
      <c r="BA30" s="16">
        <f t="shared" ref="BA30:BA33" si="13">SUM((AU30*3)+(AW30*1))</f>
        <v>1</v>
      </c>
      <c r="BB30" s="16" t="str">
        <f>IF($BA30&lt;=$BA29,$AS30,$AS29)</f>
        <v>10e Beste nrs. 3</v>
      </c>
      <c r="BC30" s="16">
        <f>VLOOKUP($BB30,$AS29:$BA33,9,FALSE)</f>
        <v>1</v>
      </c>
      <c r="BD30" s="16" t="e">
        <f>IF(BC30&gt;=BC33,BB30,BB33)</f>
        <v>#REF!</v>
      </c>
      <c r="BE30" s="16" t="e">
        <f>VLOOKUP($BD30,$AS29:$BA33,9,FALSE)</f>
        <v>#REF!</v>
      </c>
      <c r="BF30" s="16" t="e">
        <f>IF($BE30&gt;=$BE31,$BD30,$BD31)</f>
        <v>#REF!</v>
      </c>
      <c r="BG30" s="16" t="e">
        <f>VLOOKUP($BF30,$AS29:$BA33,9,FALSE)</f>
        <v>#REF!</v>
      </c>
      <c r="BH30" s="16" t="e">
        <f>VLOOKUP($BF30,$AS29:$BA33,8,FALSE)</f>
        <v>#REF!</v>
      </c>
      <c r="BI30" s="16" t="e">
        <f>IF(AND($BG29=$BG30,$BH30&gt;$BH29),$BF29,$BF30)</f>
        <v>#REF!</v>
      </c>
      <c r="BJ30" s="16" t="e">
        <f>VLOOKUP($BI30,$AS29:$BA33,9,FALSE)</f>
        <v>#REF!</v>
      </c>
      <c r="BK30" s="16" t="e">
        <f>VLOOKUP($BI30,$AS29:$BA33,8,FALSE)</f>
        <v>#REF!</v>
      </c>
      <c r="BL30" s="16" t="e">
        <f>IF(AND($BJ30=$BJ33,$BK33&gt;$BK30),$BI33,$BI30)</f>
        <v>#REF!</v>
      </c>
      <c r="BM30" s="16" t="e">
        <f>VLOOKUP($BL30,$AS29:$BA33,9,FALSE)</f>
        <v>#REF!</v>
      </c>
      <c r="BN30" s="16" t="e">
        <f>VLOOKUP($BL30,$AS29:$BA33,8,FALSE)</f>
        <v>#REF!</v>
      </c>
      <c r="BO30" s="16" t="e">
        <f>IF(AND($BM30=$BM31,$BN31&gt;$BN30),$BL31,$BL30)</f>
        <v>#REF!</v>
      </c>
      <c r="BP30" s="16" t="e">
        <f>VLOOKUP($BO30,$AS29:$BA33,9,FALSE)</f>
        <v>#REF!</v>
      </c>
      <c r="BQ30" s="16" t="e">
        <f>VLOOKUP($BO30,$AS29:$BA33,8,FALSE)</f>
        <v>#REF!</v>
      </c>
      <c r="BR30" s="16" t="e">
        <f>VLOOKUP($BO30,$AS29:$BA33,6,FALSE)</f>
        <v>#REF!</v>
      </c>
      <c r="BS30" s="16" t="e">
        <f>IF(AND($BP29=$BP30,$BQ29=$BQ30,$BR30&gt;$BR29),$BO29,$BO30)</f>
        <v>#REF!</v>
      </c>
      <c r="BT30" s="16" t="e">
        <f>VLOOKUP($BS30,$AS29:$BA33,9,FALSE)</f>
        <v>#REF!</v>
      </c>
      <c r="BU30" s="16" t="e">
        <f>VLOOKUP($BS30,$AS29:$BA33,8,FALSE)</f>
        <v>#REF!</v>
      </c>
      <c r="BV30" s="16" t="e">
        <f>VLOOKUP($BS30,$AS29:$BA33,6,FALSE)</f>
        <v>#REF!</v>
      </c>
      <c r="BW30" s="16" t="e">
        <f>IF(AND($BT30=$BT33,$BU30=$BU33,$BV33&gt;$BV30),$BS33,$BS30)</f>
        <v>#REF!</v>
      </c>
      <c r="BX30" s="16" t="e">
        <f>VLOOKUP($BW30,$AS29:$BA33,9,FALSE)</f>
        <v>#REF!</v>
      </c>
      <c r="BY30" s="16" t="e">
        <f>VLOOKUP($BW30,$AS29:$BA33,8,FALSE)</f>
        <v>#REF!</v>
      </c>
      <c r="BZ30" s="16" t="e">
        <f>VLOOKUP($BW30,$AS29:$BA33,6,FALSE)</f>
        <v>#REF!</v>
      </c>
      <c r="CA30" s="16" t="e">
        <f>IF(AND($BX30=$BX31,$BY30=$BY31,$BZ31&gt;$BZ30),$BW31,$BW30)</f>
        <v>#REF!</v>
      </c>
      <c r="CB30" s="16" t="e">
        <f>VLOOKUP($CA30,$AS29:$BA33,9,FALSE)</f>
        <v>#REF!</v>
      </c>
      <c r="CC30" s="16" t="e">
        <f>VLOOKUP($CA30,$AS29:$BA33,8,FALSE)</f>
        <v>#REF!</v>
      </c>
      <c r="CD30" s="16" t="e">
        <f>VLOOKUP($CA30,$AS29:$BA33,6,FALSE)</f>
        <v>#REF!</v>
      </c>
      <c r="CH30" s="16" t="e">
        <f>CA30</f>
        <v>#REF!</v>
      </c>
      <c r="CI30" s="16" t="e">
        <f>VLOOKUP($CH30,$AS29:$BA33,2,FALSE)</f>
        <v>#REF!</v>
      </c>
      <c r="CJ30" s="16" t="e">
        <f>VLOOKUP($CH30,$AS29:$BA33,3,FALSE)</f>
        <v>#REF!</v>
      </c>
      <c r="CK30" s="16" t="e">
        <f>VLOOKUP($CH30,$AS29:$BA33,4,FALSE)</f>
        <v>#REF!</v>
      </c>
      <c r="CL30" s="16" t="e">
        <f>VLOOKUP($CH30,$AS29:$BA33,5,FALSE)</f>
        <v>#REF!</v>
      </c>
      <c r="CM30" s="16" t="e">
        <f>VLOOKUP($CH30,$AS29:$BA33,6,FALSE)</f>
        <v>#REF!</v>
      </c>
      <c r="CN30" s="16" t="e">
        <f>VLOOKUP($CH30,$AS29:$BA33,7,FALSE)</f>
        <v>#REF!</v>
      </c>
      <c r="CO30" s="16" t="e">
        <f>VLOOKUP($CH30,$AS29:$BA33,8,FALSE)</f>
        <v>#REF!</v>
      </c>
      <c r="CP30" s="16" t="e">
        <f>VLOOKUP($CH30,$AS29:$BA33,9,FALSE)</f>
        <v>#REF!</v>
      </c>
      <c r="CR30" s="21" t="e">
        <f>#REF!</f>
        <v>#REF!</v>
      </c>
    </row>
    <row r="31" spans="1:96" ht="12.95" customHeight="1" thickBot="1" x14ac:dyDescent="0.25">
      <c r="A31" s="528">
        <f>A30</f>
        <v>0.66666666666666663</v>
      </c>
      <c r="B31" s="529"/>
      <c r="C31" s="272"/>
      <c r="D31" s="30" t="str">
        <f>AS25</f>
        <v>Orion</v>
      </c>
      <c r="E31" s="272" t="s">
        <v>16</v>
      </c>
      <c r="F31" s="529" t="str">
        <f>AS22</f>
        <v>6e Beste nrs. 3</v>
      </c>
      <c r="G31" s="529"/>
      <c r="H31" s="529"/>
      <c r="I31" s="248" t="e">
        <f>EINDRONDE!#REF!</f>
        <v>#REF!</v>
      </c>
      <c r="J31" s="247" t="s">
        <v>16</v>
      </c>
      <c r="K31" s="249" t="e">
        <f>EINDRONDE!#REF!</f>
        <v>#REF!</v>
      </c>
      <c r="L31" s="529"/>
      <c r="M31" s="529"/>
      <c r="N31" s="529"/>
      <c r="O31" s="529"/>
      <c r="P31" s="530"/>
      <c r="Q31" s="118"/>
      <c r="R31" s="528">
        <f>R30</f>
        <v>0.66666666666666663</v>
      </c>
      <c r="S31" s="529"/>
      <c r="T31" s="272"/>
      <c r="U31" s="30" t="e">
        <f>AS33</f>
        <v>#REF!</v>
      </c>
      <c r="V31" s="272" t="s">
        <v>16</v>
      </c>
      <c r="W31" s="529" t="str">
        <f>AS29</f>
        <v>7e Beste nrs. 3</v>
      </c>
      <c r="X31" s="529"/>
      <c r="Y31" s="529"/>
      <c r="Z31" s="248" t="e">
        <f>EINDRONDE!#REF!</f>
        <v>#REF!</v>
      </c>
      <c r="AA31" s="247" t="s">
        <v>16</v>
      </c>
      <c r="AB31" s="249" t="e">
        <f>EINDRONDE!#REF!</f>
        <v>#REF!</v>
      </c>
      <c r="AC31" s="529"/>
      <c r="AD31" s="529"/>
      <c r="AE31" s="529"/>
      <c r="AF31" s="529"/>
      <c r="AG31" s="530"/>
      <c r="AH31" s="65" t="s">
        <v>173</v>
      </c>
      <c r="AI31" s="63" t="s">
        <v>174</v>
      </c>
      <c r="AJ31" s="63" t="e">
        <f>I13</f>
        <v>#REF!</v>
      </c>
      <c r="AK31" s="234" t="e">
        <f>K13</f>
        <v>#REF!</v>
      </c>
      <c r="AL31" s="77" t="s">
        <v>165</v>
      </c>
      <c r="AM31" s="47" t="s">
        <v>164</v>
      </c>
      <c r="AN31" s="44" t="s">
        <v>111</v>
      </c>
      <c r="AO31" s="45" t="e">
        <f t="shared" si="4"/>
        <v>#REF!</v>
      </c>
      <c r="AP31" s="45" t="e">
        <f t="shared" si="5"/>
        <v>#REF!</v>
      </c>
      <c r="AQ31" s="45"/>
      <c r="AS31" s="16" t="e">
        <f>EINDRONDE!AB16</f>
        <v>#REF!</v>
      </c>
      <c r="AT31" s="16">
        <f>COUNT(USA_Played)</f>
        <v>1</v>
      </c>
      <c r="AU31" s="16">
        <f>COUNTIF(Groupstage_Winners,"USA")</f>
        <v>0</v>
      </c>
      <c r="AV31" s="16">
        <f>COUNTIF(Groupstage_Losers,"USA")</f>
        <v>0</v>
      </c>
      <c r="AW31" s="16">
        <f>AT31-(AU31+AV31)</f>
        <v>1</v>
      </c>
      <c r="AX31" s="16" t="e">
        <f>SUM(USA_Played)</f>
        <v>#REF!</v>
      </c>
      <c r="AY31" s="16" t="e">
        <f>SUM(USA_Against)</f>
        <v>#REF!</v>
      </c>
      <c r="AZ31" s="16" t="e">
        <f>AX31-AY31</f>
        <v>#REF!</v>
      </c>
      <c r="BA31" s="16">
        <f t="shared" si="13"/>
        <v>1</v>
      </c>
      <c r="BB31" s="16" t="e">
        <f>IF($BA31&gt;=$BA33,$AS31,$AS33)</f>
        <v>#REF!</v>
      </c>
      <c r="BC31" s="16" t="e">
        <f>VLOOKUP($BB31,$AS29:$BA33,9,FALSE)</f>
        <v>#REF!</v>
      </c>
      <c r="BD31" s="16" t="e">
        <f>IF($BC31&lt;=$BC29,$BB31,$BB29)</f>
        <v>#REF!</v>
      </c>
      <c r="BE31" s="16" t="e">
        <f>VLOOKUP($BD31,$AS29:$BA33,9,FALSE)</f>
        <v>#REF!</v>
      </c>
      <c r="BF31" s="16" t="e">
        <f>IF($BE31&lt;=$BE30,$BD31,$BD30)</f>
        <v>#REF!</v>
      </c>
      <c r="BG31" s="16" t="e">
        <f>VLOOKUP($BF31,$AS29:$BA33,9,FALSE)</f>
        <v>#REF!</v>
      </c>
      <c r="BH31" s="16" t="e">
        <f>VLOOKUP($BF31,$AS29:$BA33,8,FALSE)</f>
        <v>#REF!</v>
      </c>
      <c r="BI31" s="16" t="e">
        <f>IF(AND($BG31=$BG33,$BH33&gt;$BH31),$BF33,$BF31)</f>
        <v>#REF!</v>
      </c>
      <c r="BJ31" s="16" t="e">
        <f>VLOOKUP($BI31,$AS29:$BA33,9,FALSE)</f>
        <v>#REF!</v>
      </c>
      <c r="BK31" s="16" t="e">
        <f>VLOOKUP($BI31,$AS29:$BA33,8,FALSE)</f>
        <v>#REF!</v>
      </c>
      <c r="BL31" s="16" t="e">
        <f>IF(AND($BJ29=$BJ31,$BK31&gt;$BK29),$BI29,$BI31)</f>
        <v>#REF!</v>
      </c>
      <c r="BM31" s="16" t="e">
        <f>VLOOKUP($BL31,$AS29:$BA33,9,FALSE)</f>
        <v>#REF!</v>
      </c>
      <c r="BN31" s="16" t="e">
        <f>VLOOKUP($BL31,$AS29:$BA33,8,FALSE)</f>
        <v>#REF!</v>
      </c>
      <c r="BO31" s="16" t="e">
        <f>IF(AND($BM30=$BM31,$BN31&gt;$BN30),$BL30,$BL31)</f>
        <v>#REF!</v>
      </c>
      <c r="BP31" s="16" t="e">
        <f>VLOOKUP($BO31,$AS29:$BA33,9,FALSE)</f>
        <v>#REF!</v>
      </c>
      <c r="BQ31" s="16" t="e">
        <f>VLOOKUP($BO31,$AS29:$BA33,8,FALSE)</f>
        <v>#REF!</v>
      </c>
      <c r="BR31" s="16" t="e">
        <f>VLOOKUP($BO31,$AS29:$BA33,6,FALSE)</f>
        <v>#REF!</v>
      </c>
      <c r="BS31" s="16" t="e">
        <f>IF(AND($BP31=$BP33,$BQ31=$BQ33,$BR33&gt;$BR31),$BO33,$BO31)</f>
        <v>#REF!</v>
      </c>
      <c r="BT31" s="16" t="e">
        <f>VLOOKUP($BS31,$AS29:$BA33,9,FALSE)</f>
        <v>#REF!</v>
      </c>
      <c r="BU31" s="16" t="e">
        <f>VLOOKUP($BS31,$AS29:$BA33,8,FALSE)</f>
        <v>#REF!</v>
      </c>
      <c r="BV31" s="16" t="e">
        <f>VLOOKUP($BS31,$AS29:$BA33,6,FALSE)</f>
        <v>#REF!</v>
      </c>
      <c r="BW31" s="16" t="e">
        <f>IF(AND($BT29=$BT31,$BU29=$BU31,$BV30&gt;$BV29),$BS29,$BS31)</f>
        <v>#REF!</v>
      </c>
      <c r="BX31" s="16" t="e">
        <f>VLOOKUP($BW31,$AS29:$BA33,9,FALSE)</f>
        <v>#REF!</v>
      </c>
      <c r="BY31" s="16" t="e">
        <f>VLOOKUP($BW31,$AS29:$BA33,8,FALSE)</f>
        <v>#REF!</v>
      </c>
      <c r="BZ31" s="16" t="e">
        <f>VLOOKUP($BW31,$AS29:$BA33,6,FALSE)</f>
        <v>#REF!</v>
      </c>
      <c r="CA31" s="16" t="e">
        <f>IF(AND($BX30=$BX31,$BY30=$BY31,$BZ31&gt;$BZ30),$BW30,$BW31)</f>
        <v>#REF!</v>
      </c>
      <c r="CB31" s="16" t="e">
        <f>VLOOKUP($CA31,$AS29:$BA33,9,FALSE)</f>
        <v>#REF!</v>
      </c>
      <c r="CC31" s="16" t="e">
        <f>VLOOKUP($CA31,$AS29:$BA33,8,FALSE)</f>
        <v>#REF!</v>
      </c>
      <c r="CD31" s="16" t="e">
        <f>VLOOKUP($CA31,$AS29:$BA33,6,FALSE)</f>
        <v>#REF!</v>
      </c>
      <c r="CH31" s="16" t="e">
        <f>CA31</f>
        <v>#REF!</v>
      </c>
      <c r="CI31" s="16" t="e">
        <f>VLOOKUP($CH31,$AS29:$BA33,2,FALSE)</f>
        <v>#REF!</v>
      </c>
      <c r="CJ31" s="16" t="e">
        <f>VLOOKUP($CH31,$AS29:$BA33,3,FALSE)</f>
        <v>#REF!</v>
      </c>
      <c r="CK31" s="16" t="e">
        <f>VLOOKUP($CH31,$AS29:$BA33,4,FALSE)</f>
        <v>#REF!</v>
      </c>
      <c r="CL31" s="16" t="e">
        <f>VLOOKUP($CH31,$AS29:$BA33,5,FALSE)</f>
        <v>#REF!</v>
      </c>
      <c r="CM31" s="16" t="e">
        <f>VLOOKUP($CH31,$AS29:$BA33,6,FALSE)</f>
        <v>#REF!</v>
      </c>
      <c r="CN31" s="16" t="e">
        <f>VLOOKUP($CH31,$AS29:$BA33,7,FALSE)</f>
        <v>#REF!</v>
      </c>
      <c r="CO31" s="16" t="e">
        <f>VLOOKUP($CH31,$AS29:$BA33,8,FALSE)</f>
        <v>#REF!</v>
      </c>
      <c r="CP31" s="16" t="e">
        <f>VLOOKUP($CH31,$AS29:$BA33,9,FALSE)</f>
        <v>#REF!</v>
      </c>
      <c r="CR31" s="21" t="e">
        <f>#REF!</f>
        <v>#REF!</v>
      </c>
    </row>
    <row r="32" spans="1:96" ht="24.75" customHeight="1" thickBot="1" x14ac:dyDescent="0.35">
      <c r="A32" s="551"/>
      <c r="B32" s="551"/>
      <c r="C32" s="551"/>
      <c r="D32" s="551"/>
      <c r="E32" s="551"/>
      <c r="F32" s="551"/>
      <c r="G32" s="551"/>
      <c r="H32" s="551"/>
      <c r="I32" s="551"/>
      <c r="J32" s="551"/>
      <c r="K32" s="551"/>
      <c r="L32" s="551"/>
      <c r="M32" s="551"/>
      <c r="N32" s="551"/>
      <c r="O32" s="551"/>
      <c r="P32" s="551"/>
      <c r="Q32" s="551"/>
      <c r="R32" s="551"/>
      <c r="S32" s="551"/>
      <c r="T32" s="551"/>
      <c r="U32" s="551"/>
      <c r="V32" s="551"/>
      <c r="W32" s="551"/>
      <c r="X32" s="551"/>
      <c r="Y32" s="551"/>
      <c r="Z32" s="551"/>
      <c r="AA32" s="551"/>
      <c r="AB32" s="551"/>
      <c r="AC32" s="551"/>
      <c r="AD32" s="551"/>
      <c r="AE32" s="551"/>
      <c r="AF32" s="551"/>
      <c r="AG32" s="551"/>
      <c r="AH32" s="63"/>
      <c r="AJ32" s="237"/>
      <c r="AK32" s="60"/>
      <c r="AL32" s="60"/>
      <c r="AM32" s="53"/>
      <c r="AN32" s="17"/>
      <c r="AO32" s="17"/>
      <c r="AP32" s="17"/>
      <c r="AQ32" s="17"/>
    </row>
    <row r="33" spans="1:96" ht="13.5" thickBot="1" x14ac:dyDescent="0.2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65" t="s">
        <v>168</v>
      </c>
      <c r="AI33" s="63" t="s">
        <v>169</v>
      </c>
      <c r="AJ33" s="63">
        <f>I28</f>
        <v>1</v>
      </c>
      <c r="AK33" s="234">
        <f>K28</f>
        <v>1</v>
      </c>
      <c r="AL33" s="77" t="s">
        <v>178</v>
      </c>
      <c r="AM33" s="47" t="s">
        <v>177</v>
      </c>
      <c r="AN33" s="44" t="s">
        <v>172</v>
      </c>
      <c r="AO33" s="45" t="str">
        <f t="shared" si="4"/>
        <v>Draw</v>
      </c>
      <c r="AP33" s="45" t="str">
        <f t="shared" si="5"/>
        <v>Draw</v>
      </c>
      <c r="AQ33" s="45"/>
      <c r="AS33" s="16" t="e">
        <f>EINDRONDE!AB17</f>
        <v>#REF!</v>
      </c>
      <c r="AT33" s="16">
        <f>COUNT(Portugal_Played)</f>
        <v>1</v>
      </c>
      <c r="AU33" s="16">
        <f>COUNTIF(Groupstage_Winners,"Portugal")</f>
        <v>0</v>
      </c>
      <c r="AV33" s="16">
        <f>COUNTIF(Groupstage_Losers,"Portugal")</f>
        <v>0</v>
      </c>
      <c r="AW33" s="16">
        <f>AT33-(AU33+AV33)</f>
        <v>1</v>
      </c>
      <c r="AX33" s="16" t="e">
        <f>SUM(Portugal_Played)</f>
        <v>#REF!</v>
      </c>
      <c r="AY33" s="16" t="e">
        <f>SUM(Portugal_Against)</f>
        <v>#REF!</v>
      </c>
      <c r="AZ33" s="16" t="e">
        <f>AX33-AY33</f>
        <v>#REF!</v>
      </c>
      <c r="BA33" s="16">
        <f t="shared" si="13"/>
        <v>1</v>
      </c>
      <c r="BB33" s="16" t="e">
        <f>IF($BA33&lt;=$BA31,$AS33,$AS31)</f>
        <v>#REF!</v>
      </c>
      <c r="BC33" s="16" t="e">
        <f>VLOOKUP($BB33,$AS29:$BA33,9,FALSE)</f>
        <v>#REF!</v>
      </c>
      <c r="BD33" s="16" t="e">
        <f>IF(BC33&lt;=BC30,BB33,BB30)</f>
        <v>#REF!</v>
      </c>
      <c r="BE33" s="16" t="e">
        <f>VLOOKUP($BD33,$AS29:$BA33,9,FALSE)</f>
        <v>#REF!</v>
      </c>
      <c r="BF33" s="16" t="e">
        <f>IF($BE33&lt;=$BE29,$BD33,$BD29)</f>
        <v>#REF!</v>
      </c>
      <c r="BG33" s="16" t="e">
        <f>VLOOKUP($BF33,$AS29:$BA33,9,FALSE)</f>
        <v>#REF!</v>
      </c>
      <c r="BH33" s="16" t="e">
        <f>VLOOKUP($BF33,$AS29:$BA33,8,FALSE)</f>
        <v>#REF!</v>
      </c>
      <c r="BI33" s="16" t="e">
        <f>IF(AND($BG31=$BG33,$BH33&gt;$BH31),$BF31,$BF33)</f>
        <v>#REF!</v>
      </c>
      <c r="BJ33" s="16" t="e">
        <f>VLOOKUP($BI33,$AS29:$BA33,9,FALSE)</f>
        <v>#REF!</v>
      </c>
      <c r="BK33" s="16" t="e">
        <f>VLOOKUP($BI33,$AS29:$BA33,8,FALSE)</f>
        <v>#REF!</v>
      </c>
      <c r="BL33" s="16" t="e">
        <f>IF(AND($BJ30=$BJ33,$BK33&gt;$BK30),$BI30,$BI33)</f>
        <v>#REF!</v>
      </c>
      <c r="BM33" s="16" t="e">
        <f>VLOOKUP($BL33,$AS29:$BA33,9,FALSE)</f>
        <v>#REF!</v>
      </c>
      <c r="BN33" s="16" t="e">
        <f>VLOOKUP($BL33,$AS29:$BA33,8,FALSE)</f>
        <v>#REF!</v>
      </c>
      <c r="BO33" s="16" t="e">
        <f>IF(AND($BM29=$BM33,$BN33&gt;$BN29),$BL29,$BL33)</f>
        <v>#REF!</v>
      </c>
      <c r="BP33" s="16" t="e">
        <f>VLOOKUP($BO33,$AS29:$BA33,9,FALSE)</f>
        <v>#REF!</v>
      </c>
      <c r="BQ33" s="16" t="e">
        <f>VLOOKUP($BO33,$AS29:$BA33,8,FALSE)</f>
        <v>#REF!</v>
      </c>
      <c r="BR33" s="16" t="e">
        <f>VLOOKUP($BO33,$AS29:$BA33,6,FALSE)</f>
        <v>#REF!</v>
      </c>
      <c r="BS33" s="16" t="e">
        <f>IF(AND($BP31=$BP33,$BQ31=$BQ33,$BR33&gt;$BR31),$BO31,$BO33)</f>
        <v>#REF!</v>
      </c>
      <c r="BT33" s="16" t="e">
        <f>VLOOKUP($BS33,$AS29:$BA33,9,FALSE)</f>
        <v>#REF!</v>
      </c>
      <c r="BU33" s="16" t="e">
        <f>VLOOKUP($BS33,$AS29:$BA33,8,FALSE)</f>
        <v>#REF!</v>
      </c>
      <c r="BV33" s="16" t="e">
        <f>VLOOKUP($BS33,$AS29:$BA33,6,FALSE)</f>
        <v>#REF!</v>
      </c>
      <c r="BW33" s="16" t="e">
        <f>IF(AND($BT30=$BT33,$BU30=$BU33,$BV33&gt;$BV30),$BS30,$BS33)</f>
        <v>#REF!</v>
      </c>
      <c r="BX33" s="16" t="e">
        <f>VLOOKUP($BW33,$AS29:$BA33,9,FALSE)</f>
        <v>#REF!</v>
      </c>
      <c r="BY33" s="16" t="e">
        <f>VLOOKUP($BW33,$AS29:$BA33,8,FALSE)</f>
        <v>#REF!</v>
      </c>
      <c r="BZ33" s="16" t="e">
        <f>VLOOKUP($BW33,$AS29:$BA33,6,FALSE)</f>
        <v>#REF!</v>
      </c>
      <c r="CA33" s="16" t="e">
        <f>IF(AND($BX29=$BX33,$BY29=$BY33,$BZ33&gt;$BZ29),$BW29,$BW33)</f>
        <v>#REF!</v>
      </c>
      <c r="CB33" s="16" t="e">
        <f>VLOOKUP($CA33,$AS29:$BA33,9,FALSE)</f>
        <v>#REF!</v>
      </c>
      <c r="CC33" s="16" t="e">
        <f>VLOOKUP($CA33,$AS29:$BA33,8,FALSE)</f>
        <v>#REF!</v>
      </c>
      <c r="CD33" s="16" t="e">
        <f>VLOOKUP($CA33,$AS29:$BA33,6,FALSE)</f>
        <v>#REF!</v>
      </c>
      <c r="CH33" s="16" t="e">
        <f>CA33</f>
        <v>#REF!</v>
      </c>
      <c r="CI33" s="16" t="e">
        <f>VLOOKUP($CH33,$AS29:$BA33,2,FALSE)</f>
        <v>#REF!</v>
      </c>
      <c r="CJ33" s="16" t="e">
        <f>VLOOKUP($CH33,$AS29:$BA33,3,FALSE)</f>
        <v>#REF!</v>
      </c>
      <c r="CK33" s="16" t="e">
        <f>VLOOKUP($CH33,$AS29:$BA33,4,FALSE)</f>
        <v>#REF!</v>
      </c>
      <c r="CL33" s="16" t="e">
        <f>VLOOKUP($CH33,$AS29:$BA33,5,FALSE)</f>
        <v>#REF!</v>
      </c>
      <c r="CM33" s="16" t="e">
        <f>VLOOKUP($CH33,$AS29:$BA33,6,FALSE)</f>
        <v>#REF!</v>
      </c>
      <c r="CN33" s="16" t="e">
        <f>VLOOKUP($CH33,$AS29:$BA33,7,FALSE)</f>
        <v>#REF!</v>
      </c>
      <c r="CO33" s="16" t="e">
        <f>VLOOKUP($CH33,$AS29:$BA33,8,FALSE)</f>
        <v>#REF!</v>
      </c>
      <c r="CP33" s="16" t="e">
        <f>VLOOKUP($CH33,$AS29:$BA33,9,FALSE)</f>
        <v>#REF!</v>
      </c>
      <c r="CR33" s="21" t="e">
        <f>#REF!</f>
        <v>#REF!</v>
      </c>
    </row>
    <row r="34" spans="1:96" ht="18.75" thickBot="1" x14ac:dyDescent="0.3">
      <c r="A34" s="538"/>
      <c r="B34" s="538"/>
      <c r="C34" s="538"/>
      <c r="D34" s="538"/>
      <c r="E34" s="538"/>
      <c r="F34" s="538"/>
      <c r="G34" s="538"/>
      <c r="H34" s="538"/>
      <c r="I34" s="538"/>
      <c r="J34" s="538"/>
      <c r="K34" s="538"/>
      <c r="L34" s="538"/>
      <c r="M34" s="538"/>
      <c r="N34" s="538"/>
      <c r="O34" s="538"/>
      <c r="P34" s="538"/>
      <c r="R34" s="538"/>
      <c r="S34" s="538"/>
      <c r="T34" s="538"/>
      <c r="U34" s="538"/>
      <c r="V34" s="538"/>
      <c r="W34" s="538"/>
      <c r="X34" s="538"/>
      <c r="Y34" s="538"/>
      <c r="Z34" s="538"/>
      <c r="AA34" s="538"/>
      <c r="AB34" s="538"/>
      <c r="AC34" s="538"/>
      <c r="AD34" s="538"/>
      <c r="AE34" s="538"/>
      <c r="AF34" s="538"/>
      <c r="AG34" s="538"/>
      <c r="AH34" s="63" t="s">
        <v>167</v>
      </c>
      <c r="AI34" s="63" t="s">
        <v>166</v>
      </c>
      <c r="AJ34" s="63" t="e">
        <f>I14</f>
        <v>#REF!</v>
      </c>
      <c r="AK34" s="234" t="e">
        <f>K14</f>
        <v>#REF!</v>
      </c>
      <c r="AL34" s="77" t="s">
        <v>175</v>
      </c>
      <c r="AM34" s="48" t="s">
        <v>176</v>
      </c>
      <c r="AN34" s="44" t="s">
        <v>111</v>
      </c>
      <c r="AO34" s="45" t="e">
        <f t="shared" si="4"/>
        <v>#REF!</v>
      </c>
      <c r="AP34" s="45" t="e">
        <f t="shared" si="5"/>
        <v>#REF!</v>
      </c>
      <c r="AQ34" s="45"/>
      <c r="CR34" s="21" t="e">
        <f>#REF!</f>
        <v>#REF!</v>
      </c>
    </row>
    <row r="35" spans="1:96" ht="12.95" customHeight="1" thickBot="1" x14ac:dyDescent="0.25">
      <c r="B35" s="24"/>
      <c r="C35" s="24"/>
      <c r="D35" s="24"/>
      <c r="E35" s="24"/>
      <c r="F35" s="24"/>
      <c r="G35" s="338"/>
      <c r="H35" s="338"/>
      <c r="I35" s="338"/>
      <c r="J35" s="522"/>
      <c r="K35" s="522"/>
      <c r="L35" s="522"/>
      <c r="M35" s="522"/>
      <c r="N35" s="522"/>
      <c r="O35" s="338"/>
      <c r="P35" s="338"/>
      <c r="X35" s="338"/>
      <c r="Y35" s="338"/>
      <c r="Z35" s="338"/>
      <c r="AA35" s="522"/>
      <c r="AB35" s="522"/>
      <c r="AC35" s="522"/>
      <c r="AD35" s="522"/>
      <c r="AE35" s="522"/>
      <c r="AF35" s="338"/>
      <c r="AG35" s="338"/>
      <c r="AH35" s="65" t="s">
        <v>180</v>
      </c>
      <c r="AI35" s="63" t="s">
        <v>179</v>
      </c>
      <c r="AJ35" s="63" t="e">
        <f>I29</f>
        <v>#REF!</v>
      </c>
      <c r="AK35" s="234" t="e">
        <f>K29</f>
        <v>#REF!</v>
      </c>
      <c r="AL35" s="77" t="s">
        <v>170</v>
      </c>
      <c r="AM35" s="47" t="s">
        <v>171</v>
      </c>
      <c r="AN35" s="44" t="s">
        <v>172</v>
      </c>
      <c r="AO35" s="45" t="e">
        <f t="shared" si="4"/>
        <v>#REF!</v>
      </c>
      <c r="AP35" s="45" t="e">
        <f t="shared" si="5"/>
        <v>#REF!</v>
      </c>
      <c r="AQ35" s="45"/>
      <c r="CR35" s="21" t="e">
        <f>#REF!</f>
        <v>#REF!</v>
      </c>
    </row>
    <row r="36" spans="1:96" ht="12.95" customHeight="1" thickBot="1" x14ac:dyDescent="0.25">
      <c r="A36" s="522"/>
      <c r="B36" s="522"/>
      <c r="C36" s="34"/>
      <c r="D36" s="24"/>
      <c r="E36" s="24"/>
      <c r="F36" s="24"/>
      <c r="G36" s="341"/>
      <c r="H36" s="341"/>
      <c r="I36" s="283"/>
      <c r="J36" s="539"/>
      <c r="K36" s="539"/>
      <c r="L36" s="33"/>
      <c r="M36" s="283"/>
      <c r="N36" s="40"/>
      <c r="O36" s="341"/>
      <c r="P36" s="283"/>
      <c r="R36" s="522"/>
      <c r="S36" s="522"/>
      <c r="T36" s="34"/>
      <c r="X36" s="341"/>
      <c r="Y36" s="341"/>
      <c r="Z36" s="283"/>
      <c r="AA36" s="539"/>
      <c r="AB36" s="539"/>
      <c r="AC36" s="33"/>
      <c r="AD36" s="283"/>
      <c r="AE36" s="40"/>
      <c r="AF36" s="341"/>
      <c r="AG36" s="283"/>
      <c r="AH36" s="63" t="s">
        <v>181</v>
      </c>
      <c r="AI36" s="63" t="s">
        <v>182</v>
      </c>
      <c r="AJ36" s="63" t="e">
        <f>Z13</f>
        <v>#REF!</v>
      </c>
      <c r="AK36" s="234" t="e">
        <f>AB13</f>
        <v>#REF!</v>
      </c>
      <c r="AL36" s="77" t="s">
        <v>194</v>
      </c>
      <c r="AM36" s="48" t="s">
        <v>193</v>
      </c>
      <c r="AN36" s="44" t="s">
        <v>185</v>
      </c>
      <c r="AO36" s="45" t="e">
        <f t="shared" si="4"/>
        <v>#REF!</v>
      </c>
      <c r="AP36" s="45" t="e">
        <f t="shared" si="5"/>
        <v>#REF!</v>
      </c>
      <c r="AQ36" s="45"/>
      <c r="CR36" s="21" t="e">
        <f>#REF!</f>
        <v>#REF!</v>
      </c>
    </row>
    <row r="37" spans="1:96" ht="12.95" customHeight="1" thickBot="1" x14ac:dyDescent="0.25">
      <c r="A37" s="522"/>
      <c r="B37" s="522"/>
      <c r="C37" s="34"/>
      <c r="D37" s="24"/>
      <c r="E37" s="24"/>
      <c r="F37" s="24"/>
      <c r="G37" s="341"/>
      <c r="H37" s="341"/>
      <c r="I37" s="283"/>
      <c r="J37" s="539"/>
      <c r="K37" s="539"/>
      <c r="L37" s="33"/>
      <c r="M37" s="283"/>
      <c r="N37" s="40"/>
      <c r="O37" s="341"/>
      <c r="P37" s="283"/>
      <c r="R37" s="522"/>
      <c r="S37" s="522"/>
      <c r="T37" s="34"/>
      <c r="X37" s="341"/>
      <c r="Y37" s="341"/>
      <c r="Z37" s="283"/>
      <c r="AA37" s="539"/>
      <c r="AB37" s="539"/>
      <c r="AC37" s="33"/>
      <c r="AD37" s="283"/>
      <c r="AE37" s="40"/>
      <c r="AF37" s="341"/>
      <c r="AG37" s="283"/>
      <c r="AH37" s="63" t="s">
        <v>187</v>
      </c>
      <c r="AI37" s="63" t="s">
        <v>188</v>
      </c>
      <c r="AJ37" s="63">
        <f>Z28</f>
        <v>0</v>
      </c>
      <c r="AK37" s="234">
        <f>AB28</f>
        <v>0</v>
      </c>
      <c r="AL37" s="77" t="s">
        <v>199</v>
      </c>
      <c r="AM37" s="48" t="s">
        <v>198</v>
      </c>
      <c r="AN37" s="44" t="s">
        <v>126</v>
      </c>
      <c r="AO37" s="45" t="str">
        <f t="shared" si="4"/>
        <v>Draw</v>
      </c>
      <c r="AP37" s="45" t="str">
        <f t="shared" si="5"/>
        <v>Draw</v>
      </c>
      <c r="AQ37" s="45"/>
      <c r="AS37" s="16" t="s">
        <v>206</v>
      </c>
      <c r="CR37" s="21" t="e">
        <f>#REF!</f>
        <v>#REF!</v>
      </c>
    </row>
    <row r="38" spans="1:96" ht="12.95" customHeight="1" thickBot="1" x14ac:dyDescent="0.25">
      <c r="A38" s="522"/>
      <c r="B38" s="522"/>
      <c r="C38" s="34"/>
      <c r="D38" s="24"/>
      <c r="E38" s="24"/>
      <c r="F38" s="24"/>
      <c r="G38" s="341"/>
      <c r="H38" s="341"/>
      <c r="I38" s="283"/>
      <c r="J38" s="539"/>
      <c r="K38" s="539"/>
      <c r="L38" s="33"/>
      <c r="M38" s="283"/>
      <c r="N38" s="40"/>
      <c r="O38" s="341"/>
      <c r="P38" s="283"/>
      <c r="R38" s="522"/>
      <c r="S38" s="522"/>
      <c r="T38" s="34"/>
      <c r="X38" s="341"/>
      <c r="Y38" s="341"/>
      <c r="Z38" s="283"/>
      <c r="AA38" s="539"/>
      <c r="AB38" s="539"/>
      <c r="AC38" s="33"/>
      <c r="AD38" s="283"/>
      <c r="AE38" s="40"/>
      <c r="AF38" s="341"/>
      <c r="AG38" s="283"/>
      <c r="AH38" s="63" t="s">
        <v>196</v>
      </c>
      <c r="AI38" s="63" t="s">
        <v>195</v>
      </c>
      <c r="AJ38" s="63" t="e">
        <f>Z14</f>
        <v>#REF!</v>
      </c>
      <c r="AK38" s="234" t="e">
        <f>AB14</f>
        <v>#REF!</v>
      </c>
      <c r="AL38" s="77" t="s">
        <v>183</v>
      </c>
      <c r="AM38" s="48" t="s">
        <v>184</v>
      </c>
      <c r="AN38" s="44" t="s">
        <v>185</v>
      </c>
      <c r="AO38" s="45" t="e">
        <f t="shared" si="4"/>
        <v>#REF!</v>
      </c>
      <c r="AP38" s="45" t="e">
        <f t="shared" si="5"/>
        <v>#REF!</v>
      </c>
      <c r="AQ38" s="45"/>
      <c r="AT38" s="16" t="s">
        <v>124</v>
      </c>
      <c r="AU38" s="16" t="s">
        <v>110</v>
      </c>
      <c r="AV38" s="16" t="s">
        <v>125</v>
      </c>
      <c r="AW38" s="16" t="s">
        <v>126</v>
      </c>
      <c r="AX38" s="16" t="s">
        <v>127</v>
      </c>
      <c r="AY38" s="16" t="s">
        <v>123</v>
      </c>
      <c r="AZ38" s="16" t="s">
        <v>128</v>
      </c>
      <c r="BA38" s="16" t="s">
        <v>129</v>
      </c>
      <c r="BB38" s="16" t="s">
        <v>130</v>
      </c>
      <c r="BC38" s="20" t="s">
        <v>129</v>
      </c>
      <c r="BD38" s="16" t="s">
        <v>130</v>
      </c>
      <c r="BE38" s="20" t="s">
        <v>129</v>
      </c>
      <c r="BF38" s="16" t="s">
        <v>130</v>
      </c>
      <c r="BG38" s="20" t="s">
        <v>129</v>
      </c>
      <c r="BH38" s="20" t="s">
        <v>128</v>
      </c>
      <c r="BI38" s="16" t="s">
        <v>130</v>
      </c>
      <c r="BJ38" s="16" t="s">
        <v>129</v>
      </c>
      <c r="BK38" s="20" t="s">
        <v>128</v>
      </c>
      <c r="BL38" s="16" t="s">
        <v>130</v>
      </c>
      <c r="BM38" s="16" t="s">
        <v>129</v>
      </c>
      <c r="BN38" s="20" t="s">
        <v>128</v>
      </c>
      <c r="BO38" s="16" t="s">
        <v>130</v>
      </c>
      <c r="BP38" s="16" t="s">
        <v>129</v>
      </c>
      <c r="BQ38" s="20" t="s">
        <v>128</v>
      </c>
      <c r="BR38" s="20" t="s">
        <v>127</v>
      </c>
      <c r="BS38" s="16" t="s">
        <v>130</v>
      </c>
      <c r="BT38" s="16" t="s">
        <v>129</v>
      </c>
      <c r="BU38" s="20" t="s">
        <v>128</v>
      </c>
      <c r="BV38" s="20" t="s">
        <v>127</v>
      </c>
      <c r="BW38" s="16" t="s">
        <v>130</v>
      </c>
      <c r="BX38" s="16" t="s">
        <v>129</v>
      </c>
      <c r="BY38" s="20" t="s">
        <v>128</v>
      </c>
      <c r="BZ38" s="20" t="s">
        <v>127</v>
      </c>
      <c r="CA38" s="16" t="s">
        <v>130</v>
      </c>
      <c r="CB38" s="20" t="s">
        <v>129</v>
      </c>
      <c r="CC38" s="20" t="s">
        <v>128</v>
      </c>
      <c r="CD38" s="20" t="s">
        <v>127</v>
      </c>
      <c r="CI38" s="20" t="s">
        <v>131</v>
      </c>
      <c r="CJ38" s="20" t="s">
        <v>110</v>
      </c>
      <c r="CK38" s="20" t="s">
        <v>125</v>
      </c>
      <c r="CL38" s="20" t="s">
        <v>126</v>
      </c>
      <c r="CM38" s="20" t="s">
        <v>127</v>
      </c>
      <c r="CN38" s="20" t="s">
        <v>123</v>
      </c>
      <c r="CO38" s="20" t="s">
        <v>128</v>
      </c>
      <c r="CP38" s="20" t="s">
        <v>129</v>
      </c>
      <c r="CR38" s="21" t="e">
        <f>#REF!</f>
        <v>#REF!</v>
      </c>
    </row>
    <row r="39" spans="1:96" ht="12.95" customHeight="1" thickBot="1" x14ac:dyDescent="0.25">
      <c r="A39" s="522"/>
      <c r="B39" s="522"/>
      <c r="C39" s="34"/>
      <c r="D39" s="24"/>
      <c r="E39" s="24"/>
      <c r="F39" s="24"/>
      <c r="G39" s="341"/>
      <c r="H39" s="341"/>
      <c r="I39" s="283"/>
      <c r="J39" s="539"/>
      <c r="K39" s="539"/>
      <c r="L39" s="33"/>
      <c r="M39" s="283"/>
      <c r="N39" s="40"/>
      <c r="O39" s="341"/>
      <c r="P39" s="283"/>
      <c r="R39" s="522"/>
      <c r="S39" s="522"/>
      <c r="T39" s="34"/>
      <c r="X39" s="341"/>
      <c r="Y39" s="341"/>
      <c r="Z39" s="283"/>
      <c r="AA39" s="539"/>
      <c r="AB39" s="539"/>
      <c r="AC39" s="33"/>
      <c r="AD39" s="283"/>
      <c r="AE39" s="40"/>
      <c r="AF39" s="341"/>
      <c r="AG39" s="283"/>
      <c r="AH39" s="63" t="s">
        <v>201</v>
      </c>
      <c r="AI39" s="63" t="s">
        <v>200</v>
      </c>
      <c r="AJ39" s="63">
        <f>Z29</f>
        <v>0</v>
      </c>
      <c r="AK39" s="234">
        <f>AB29</f>
        <v>0</v>
      </c>
      <c r="AL39" s="77" t="s">
        <v>189</v>
      </c>
      <c r="AM39" s="48" t="s">
        <v>190</v>
      </c>
      <c r="AN39" s="44" t="s">
        <v>126</v>
      </c>
      <c r="AO39" s="45" t="str">
        <f t="shared" si="4"/>
        <v>Draw</v>
      </c>
      <c r="AP39" s="45" t="str">
        <f t="shared" si="5"/>
        <v>Draw</v>
      </c>
      <c r="AQ39" s="45"/>
      <c r="AS39" s="16" t="str">
        <f>EINDRONDE!J14</f>
        <v>FC Isjeneefer</v>
      </c>
      <c r="AT39" s="16">
        <f>COUNT(Germany_Played)</f>
        <v>3</v>
      </c>
      <c r="AU39" s="16">
        <f>COUNTIF(Groupstage_Winners,"Germany")</f>
        <v>0</v>
      </c>
      <c r="AV39" s="16">
        <f>COUNTIF(Groupstage_Losers,"Germany")</f>
        <v>0</v>
      </c>
      <c r="AW39" s="16">
        <f>AT39-(AU39+AV39)</f>
        <v>3</v>
      </c>
      <c r="AX39" s="16">
        <f>SUM(Germany_Played)</f>
        <v>0</v>
      </c>
      <c r="AY39" s="16">
        <f>SUM(Germany_Against)</f>
        <v>0</v>
      </c>
      <c r="AZ39" s="16">
        <f>AX39-AY39</f>
        <v>0</v>
      </c>
      <c r="BA39" s="16">
        <f>SUM((AU39*3)+(AW39*1))</f>
        <v>3</v>
      </c>
      <c r="BB39" s="16" t="str">
        <f>IF($BA39&gt;=$BA40,$AS39,$AS40)</f>
        <v>FC Isjeneefer</v>
      </c>
      <c r="BC39" s="16">
        <f>VLOOKUP($BB39,$AS39:$BA42,9,FALSE)</f>
        <v>3</v>
      </c>
      <c r="BD39" s="16" t="str">
        <f>IF($BC39&gt;=$BC41,$BB39,$BB41)</f>
        <v>FC Isjeneefer</v>
      </c>
      <c r="BE39" s="16">
        <f>VLOOKUP($BD39,$AS39:$BA42,9,FALSE)</f>
        <v>3</v>
      </c>
      <c r="BF39" s="16" t="e">
        <f>IF($BE39&gt;=$BE42,$BD39,$BD42)</f>
        <v>#REF!</v>
      </c>
      <c r="BG39" s="16" t="e">
        <f>VLOOKUP($BF39,$AS39:$BA42,9,FALSE)</f>
        <v>#REF!</v>
      </c>
      <c r="BH39" s="16" t="e">
        <f>VLOOKUP($BF39,$AS39:$BA42,8,FALSE)</f>
        <v>#REF!</v>
      </c>
      <c r="BI39" s="16" t="e">
        <f>IF(AND($BG39=$BG40,$BH40&gt;$BH39),$BF40,$BF39)</f>
        <v>#REF!</v>
      </c>
      <c r="BJ39" s="16" t="e">
        <f>VLOOKUP($BI39,$AS39:$BA42,9,FALSE)</f>
        <v>#REF!</v>
      </c>
      <c r="BK39" s="16" t="e">
        <f>VLOOKUP($BI39,$AS39:$BA42,8,FALSE)</f>
        <v>#REF!</v>
      </c>
      <c r="BL39" s="16" t="e">
        <f>IF(AND($BJ39=$BJ41,$BK41&gt;$BK39),$BI41,$BI39)</f>
        <v>#REF!</v>
      </c>
      <c r="BM39" s="16" t="e">
        <f>VLOOKUP($BL39,$AS39:$BA42,9,FALSE)</f>
        <v>#REF!</v>
      </c>
      <c r="BN39" s="16" t="e">
        <f>VLOOKUP($BL39,$AS39:$BA42,8,FALSE)</f>
        <v>#REF!</v>
      </c>
      <c r="BO39" s="16" t="e">
        <f>IF(AND($BM39=$BM42,$BN42&gt;$BN39),$BL42,$BL39)</f>
        <v>#REF!</v>
      </c>
      <c r="BP39" s="16" t="e">
        <f>VLOOKUP($BO39,$AS39:$BA42,9,FALSE)</f>
        <v>#REF!</v>
      </c>
      <c r="BQ39" s="16" t="e">
        <f>VLOOKUP($BO39,$AS39:$BA42,8,FALSE)</f>
        <v>#REF!</v>
      </c>
      <c r="BR39" s="16" t="e">
        <f>VLOOKUP($BO39,$AS39:$BA42,6,FALSE)</f>
        <v>#REF!</v>
      </c>
      <c r="BS39" s="16" t="e">
        <f>IF(AND($BP39=$BP40,$BQ39=$BQ40,$BR40&gt;$BR39),$BO40,$BO39)</f>
        <v>#REF!</v>
      </c>
      <c r="BT39" s="16" t="e">
        <f>VLOOKUP($BS39,$AS39:$BA42,9,FALSE)</f>
        <v>#REF!</v>
      </c>
      <c r="BU39" s="16" t="e">
        <f>VLOOKUP($BS39,$AS39:$BA42,8,FALSE)</f>
        <v>#REF!</v>
      </c>
      <c r="BV39" s="16" t="e">
        <f>VLOOKUP($BS39,$AS39:$BA42,6,FALSE)</f>
        <v>#REF!</v>
      </c>
      <c r="BW39" s="16" t="e">
        <f>IF(AND($BT39=$BT41,$BU39=$BU41,$BV41&gt;$BV39),$BS41,$BS39)</f>
        <v>#REF!</v>
      </c>
      <c r="BX39" s="16" t="e">
        <f>VLOOKUP($BW39,$AS39:$BA42,9,FALSE)</f>
        <v>#REF!</v>
      </c>
      <c r="BY39" s="16" t="e">
        <f>VLOOKUP($BW39,$AS39:$BA42,8,FALSE)</f>
        <v>#REF!</v>
      </c>
      <c r="BZ39" s="16" t="e">
        <f>VLOOKUP($BW39,$AS39:$BA42,6,FALSE)</f>
        <v>#REF!</v>
      </c>
      <c r="CA39" s="16" t="e">
        <f>IF(AND($BX39=$BX42,$BY39=$BY42,$BZ42&gt;$BZ39),$BW42,$BW39)</f>
        <v>#REF!</v>
      </c>
      <c r="CB39" s="16" t="e">
        <f>VLOOKUP($CA39,$AS39:$BA42,9,FALSE)</f>
        <v>#REF!</v>
      </c>
      <c r="CC39" s="16" t="e">
        <f>VLOOKUP($CA39,$AS39:$BA42,8,FALSE)</f>
        <v>#REF!</v>
      </c>
      <c r="CD39" s="16" t="e">
        <f>VLOOKUP($CA39,$AS39:$BA42,6,FALSE)</f>
        <v>#REF!</v>
      </c>
      <c r="CH39" s="16" t="e">
        <f>CA39</f>
        <v>#REF!</v>
      </c>
      <c r="CI39" s="16" t="e">
        <f>VLOOKUP($CH39,$AS39:$BA42,2,FALSE)</f>
        <v>#REF!</v>
      </c>
      <c r="CJ39" s="16" t="e">
        <f>VLOOKUP($CH39,$AS39:$BA42,3,FALSE)</f>
        <v>#REF!</v>
      </c>
      <c r="CK39" s="16" t="e">
        <f>VLOOKUP($CH39,$AS39:$BA42,4,FALSE)</f>
        <v>#REF!</v>
      </c>
      <c r="CL39" s="16" t="e">
        <f>VLOOKUP($CH39,$AS39:$BA42,5,FALSE)</f>
        <v>#REF!</v>
      </c>
      <c r="CM39" s="16" t="e">
        <f>VLOOKUP($CH39,$AS39:$BA42,6,FALSE)</f>
        <v>#REF!</v>
      </c>
      <c r="CN39" s="16" t="e">
        <f>VLOOKUP($CH39,$AS39:$BA42,7,FALSE)</f>
        <v>#REF!</v>
      </c>
      <c r="CO39" s="16" t="e">
        <f>VLOOKUP($CH39,$AS39:$BA42,8,FALSE)</f>
        <v>#REF!</v>
      </c>
      <c r="CP39" s="16" t="e">
        <f>VLOOKUP($CH39,$AS39:$BA42,9,FALSE)</f>
        <v>#REF!</v>
      </c>
      <c r="CR39" s="21" t="e">
        <f>#REF!</f>
        <v>#REF!</v>
      </c>
    </row>
    <row r="40" spans="1:96" ht="7.5" customHeight="1" thickBot="1" x14ac:dyDescent="0.25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AH40" s="69" t="s">
        <v>141</v>
      </c>
      <c r="AI40" s="70" t="s">
        <v>140</v>
      </c>
      <c r="AJ40" s="70" t="e">
        <f>#REF!</f>
        <v>#REF!</v>
      </c>
      <c r="AK40" s="232" t="e">
        <f>#REF!</f>
        <v>#REF!</v>
      </c>
      <c r="AL40" s="73" t="s">
        <v>120</v>
      </c>
      <c r="AM40" s="50" t="s">
        <v>119</v>
      </c>
      <c r="AN40" s="44" t="s">
        <v>123</v>
      </c>
      <c r="AO40" s="45" t="e">
        <f t="shared" si="4"/>
        <v>#REF!</v>
      </c>
      <c r="AP40" s="45" t="e">
        <f t="shared" si="5"/>
        <v>#REF!</v>
      </c>
      <c r="AQ40" s="45"/>
      <c r="AS40" s="16" t="e">
        <f>EINDRONDE!J15</f>
        <v>#REF!</v>
      </c>
      <c r="AT40" s="16">
        <f>COUNT(Saudi_Arabia_Played)</f>
        <v>3</v>
      </c>
      <c r="AU40" s="16">
        <f>COUNTIF(Groupstage_Winners,"Saudi Arabia")</f>
        <v>0</v>
      </c>
      <c r="AV40" s="16">
        <f>COUNTIF(Groupstage_Losers,"Saudi Arabia")</f>
        <v>0</v>
      </c>
      <c r="AW40" s="16">
        <f>AT40-(AU40+AV40)</f>
        <v>3</v>
      </c>
      <c r="AX40" s="16">
        <f>SUM(Saudi_Arabia_Played)</f>
        <v>0</v>
      </c>
      <c r="AY40" s="16">
        <f>SUM(Saudi_Arabia_Against)</f>
        <v>0</v>
      </c>
      <c r="AZ40" s="16">
        <f>AX40-AY40</f>
        <v>0</v>
      </c>
      <c r="BA40" s="16">
        <f t="shared" ref="BA40:BA42" si="14">SUM((AU40*3)+(AW40*1))</f>
        <v>3</v>
      </c>
      <c r="BB40" s="16" t="e">
        <f>IF($BA40&lt;=$BA39,$AS40,$AS39)</f>
        <v>#REF!</v>
      </c>
      <c r="BC40" s="16" t="e">
        <f>VLOOKUP($BB40,$AS39:$BA42,9,FALSE)</f>
        <v>#REF!</v>
      </c>
      <c r="BD40" s="16" t="e">
        <f>IF(BC40&gt;=BC42,BB40,BB42)</f>
        <v>#REF!</v>
      </c>
      <c r="BE40" s="16" t="e">
        <f>VLOOKUP($BD40,$AS39:$BA42,9,FALSE)</f>
        <v>#REF!</v>
      </c>
      <c r="BF40" s="16" t="e">
        <f>IF($BE40&gt;=$BE41,$BD40,$BD41)</f>
        <v>#REF!</v>
      </c>
      <c r="BG40" s="16" t="e">
        <f>VLOOKUP($BF40,$AS39:$BA42,9,FALSE)</f>
        <v>#REF!</v>
      </c>
      <c r="BH40" s="16" t="e">
        <f>VLOOKUP($BF40,$AS39:$BA42,8,FALSE)</f>
        <v>#REF!</v>
      </c>
      <c r="BI40" s="16" t="e">
        <f>IF(AND($BG39=$BG40,$BH40&gt;$BH39),$BF39,$BF40)</f>
        <v>#REF!</v>
      </c>
      <c r="BJ40" s="16" t="e">
        <f>VLOOKUP($BI40,$AS39:$BA42,9,FALSE)</f>
        <v>#REF!</v>
      </c>
      <c r="BK40" s="16" t="e">
        <f>VLOOKUP($BI40,$AS39:$BA42,8,FALSE)</f>
        <v>#REF!</v>
      </c>
      <c r="BL40" s="16" t="e">
        <f>IF(AND($BJ40=$BJ42,$BK42&gt;$BK40),$BI42,$BI40)</f>
        <v>#REF!</v>
      </c>
      <c r="BM40" s="16" t="e">
        <f>VLOOKUP($BL40,$AS39:$BA42,9,FALSE)</f>
        <v>#REF!</v>
      </c>
      <c r="BN40" s="16" t="e">
        <f>VLOOKUP($BL40,$AS39:$BA42,8,FALSE)</f>
        <v>#REF!</v>
      </c>
      <c r="BO40" s="16" t="e">
        <f>IF(AND($BM40=$BM41,$BN41&gt;$BN40),$BL41,$BL40)</f>
        <v>#REF!</v>
      </c>
      <c r="BP40" s="16" t="e">
        <f>VLOOKUP($BO40,$AS39:$BA42,9,FALSE)</f>
        <v>#REF!</v>
      </c>
      <c r="BQ40" s="16" t="e">
        <f>VLOOKUP($BO40,$AS39:$BA42,8,FALSE)</f>
        <v>#REF!</v>
      </c>
      <c r="BR40" s="16" t="e">
        <f>VLOOKUP($BO40,$AS39:$BA42,6,FALSE)</f>
        <v>#REF!</v>
      </c>
      <c r="BS40" s="16" t="e">
        <f>IF(AND($BP39=$BP40,$BQ39=$BQ40,$BR40&gt;$BR39),$BO39,$BO40)</f>
        <v>#REF!</v>
      </c>
      <c r="BT40" s="16" t="e">
        <f>VLOOKUP($BS40,$AS39:$BA42,9,FALSE)</f>
        <v>#REF!</v>
      </c>
      <c r="BU40" s="16" t="e">
        <f>VLOOKUP($BS40,$AS39:$BA42,8,FALSE)</f>
        <v>#REF!</v>
      </c>
      <c r="BV40" s="16" t="e">
        <f>VLOOKUP($BS40,$AS39:$BA42,6,FALSE)</f>
        <v>#REF!</v>
      </c>
      <c r="BW40" s="16" t="e">
        <f>IF(AND($BT40=$BT42,$BU40=$BU42,$BV42&gt;$BV40),$BS42,$BS40)</f>
        <v>#REF!</v>
      </c>
      <c r="BX40" s="16" t="e">
        <f>VLOOKUP($BW40,$AS39:$BA42,9,FALSE)</f>
        <v>#REF!</v>
      </c>
      <c r="BY40" s="16" t="e">
        <f>VLOOKUP($BW40,$AS39:$BA42,8,FALSE)</f>
        <v>#REF!</v>
      </c>
      <c r="BZ40" s="16" t="e">
        <f>VLOOKUP($BW40,$AS39:$BA42,6,FALSE)</f>
        <v>#REF!</v>
      </c>
      <c r="CA40" s="16" t="e">
        <f>IF(AND($BX40=$BX41,$BY40=$BY41,$BZ41&gt;$BZ40),$BW41,$BW40)</f>
        <v>#REF!</v>
      </c>
      <c r="CB40" s="16" t="e">
        <f>VLOOKUP($CA40,$AS39:$BA42,9,FALSE)</f>
        <v>#REF!</v>
      </c>
      <c r="CC40" s="16" t="e">
        <f>VLOOKUP($CA40,$AS39:$BA42,8,FALSE)</f>
        <v>#REF!</v>
      </c>
      <c r="CD40" s="16" t="e">
        <f>VLOOKUP($CA40,$AS39:$BA42,6,FALSE)</f>
        <v>#REF!</v>
      </c>
      <c r="CH40" s="16" t="e">
        <f>CA40</f>
        <v>#REF!</v>
      </c>
      <c r="CI40" s="16" t="e">
        <f>VLOOKUP($CH40,$AS39:$BA42,2,FALSE)</f>
        <v>#REF!</v>
      </c>
      <c r="CJ40" s="16" t="e">
        <f>VLOOKUP($CH40,$AS39:$BA42,3,FALSE)</f>
        <v>#REF!</v>
      </c>
      <c r="CK40" s="16" t="e">
        <f>VLOOKUP($CH40,$AS39:$BA42,4,FALSE)</f>
        <v>#REF!</v>
      </c>
      <c r="CL40" s="16" t="e">
        <f>VLOOKUP($CH40,$AS39:$BA42,5,FALSE)</f>
        <v>#REF!</v>
      </c>
      <c r="CM40" s="16" t="e">
        <f>VLOOKUP($CH40,$AS39:$BA42,6,FALSE)</f>
        <v>#REF!</v>
      </c>
      <c r="CN40" s="16" t="e">
        <f>VLOOKUP($CH40,$AS39:$BA42,7,FALSE)</f>
        <v>#REF!</v>
      </c>
      <c r="CO40" s="16" t="e">
        <f>VLOOKUP($CH40,$AS39:$BA42,8,FALSE)</f>
        <v>#REF!</v>
      </c>
      <c r="CP40" s="16" t="e">
        <f>VLOOKUP($CH40,$AS39:$BA42,9,FALSE)</f>
        <v>#REF!</v>
      </c>
      <c r="CR40" s="21" t="e">
        <f>#REF!</f>
        <v>#REF!</v>
      </c>
    </row>
    <row r="41" spans="1:96" s="145" customFormat="1" ht="9.75" customHeight="1" thickBot="1" x14ac:dyDescent="0.25">
      <c r="A41" s="515"/>
      <c r="B41" s="515"/>
      <c r="C41" s="339"/>
      <c r="D41" s="124"/>
      <c r="E41" s="124"/>
      <c r="F41" s="124"/>
      <c r="G41" s="124"/>
      <c r="H41" s="124"/>
      <c r="I41" s="515"/>
      <c r="J41" s="515"/>
      <c r="K41" s="515"/>
      <c r="L41" s="526"/>
      <c r="M41" s="526"/>
      <c r="N41" s="526"/>
      <c r="O41" s="526"/>
      <c r="P41" s="526"/>
      <c r="Q41" s="185"/>
      <c r="R41" s="515"/>
      <c r="S41" s="515"/>
      <c r="T41" s="339"/>
      <c r="U41" s="124"/>
      <c r="V41" s="124"/>
      <c r="W41" s="124"/>
      <c r="X41" s="124"/>
      <c r="Y41" s="124"/>
      <c r="Z41" s="515"/>
      <c r="AA41" s="515"/>
      <c r="AB41" s="515"/>
      <c r="AC41" s="526"/>
      <c r="AD41" s="526"/>
      <c r="AE41" s="526"/>
      <c r="AF41" s="526"/>
      <c r="AG41" s="526"/>
      <c r="AH41" s="147" t="s">
        <v>122</v>
      </c>
      <c r="AI41" s="148" t="s">
        <v>121</v>
      </c>
      <c r="AJ41" s="148" t="e">
        <f>#REF!</f>
        <v>#REF!</v>
      </c>
      <c r="AK41" s="233" t="e">
        <f>#REF!</f>
        <v>#REF!</v>
      </c>
      <c r="AL41" s="149" t="s">
        <v>139</v>
      </c>
      <c r="AM41" s="150" t="s">
        <v>138</v>
      </c>
      <c r="AN41" s="143" t="s">
        <v>123</v>
      </c>
      <c r="AO41" s="144" t="e">
        <f t="shared" si="4"/>
        <v>#REF!</v>
      </c>
      <c r="AP41" s="144" t="e">
        <f t="shared" si="5"/>
        <v>#REF!</v>
      </c>
      <c r="AQ41" s="144"/>
      <c r="AS41" s="145" t="str">
        <f>EINDRONDE!J16</f>
        <v>IAMB&amp;B</v>
      </c>
      <c r="AT41" s="145">
        <f>COUNT(Ireland_Played)</f>
        <v>3</v>
      </c>
      <c r="AU41" s="145">
        <f>COUNTIF(Groupstage_Winners,"Ireland")</f>
        <v>0</v>
      </c>
      <c r="AV41" s="145">
        <f>COUNTIF(Groupstage_Losers,"Ireland")</f>
        <v>0</v>
      </c>
      <c r="AW41" s="145">
        <f>AT41-(AU41+AV41)</f>
        <v>3</v>
      </c>
      <c r="AX41" s="145">
        <f>SUM(Ireland_Played)</f>
        <v>0</v>
      </c>
      <c r="AY41" s="145">
        <f>SUM(Ireland_Against)</f>
        <v>0</v>
      </c>
      <c r="AZ41" s="145">
        <f>AX41-AY41</f>
        <v>0</v>
      </c>
      <c r="BA41" s="16">
        <f t="shared" si="14"/>
        <v>3</v>
      </c>
      <c r="BB41" s="145" t="str">
        <f>IF($BA41&gt;=$BA42,$AS41,$AS42)</f>
        <v>IAMB&amp;B</v>
      </c>
      <c r="BC41" s="145">
        <f>VLOOKUP($BB41,$AS39:$BA42,9,FALSE)</f>
        <v>3</v>
      </c>
      <c r="BD41" s="145" t="str">
        <f>IF($BC41&lt;=$BC39,$BB41,$BB39)</f>
        <v>IAMB&amp;B</v>
      </c>
      <c r="BE41" s="145">
        <f>VLOOKUP($BD41,$AS39:$BA42,9,FALSE)</f>
        <v>3</v>
      </c>
      <c r="BF41" s="145" t="e">
        <f>IF($BE41&lt;=$BE40,$BD41,$BD40)</f>
        <v>#REF!</v>
      </c>
      <c r="BG41" s="145" t="e">
        <f>VLOOKUP($BF41,$AS39:$BA42,9,FALSE)</f>
        <v>#REF!</v>
      </c>
      <c r="BH41" s="145" t="e">
        <f>VLOOKUP($BF41,$AS39:$BA42,8,FALSE)</f>
        <v>#REF!</v>
      </c>
      <c r="BI41" s="145" t="e">
        <f>IF(AND($BG41=$BG42,$BH42&gt;$BH41),$BF42,$BF41)</f>
        <v>#REF!</v>
      </c>
      <c r="BJ41" s="145" t="e">
        <f>VLOOKUP($BI41,$AS39:$BA42,9,FALSE)</f>
        <v>#REF!</v>
      </c>
      <c r="BK41" s="145" t="e">
        <f>VLOOKUP($BI41,$AS39:$BA42,8,FALSE)</f>
        <v>#REF!</v>
      </c>
      <c r="BL41" s="145" t="e">
        <f>IF(AND($BJ39=$BJ41,$BK41&gt;$BK39),$BI39,$BI41)</f>
        <v>#REF!</v>
      </c>
      <c r="BM41" s="145" t="e">
        <f>VLOOKUP($BL41,$AS39:$BA42,9,FALSE)</f>
        <v>#REF!</v>
      </c>
      <c r="BN41" s="145" t="e">
        <f>VLOOKUP($BL41,$AS39:$BA42,8,FALSE)</f>
        <v>#REF!</v>
      </c>
      <c r="BO41" s="145" t="e">
        <f>IF(AND($BM40=$BM41,$BN41&gt;$BN40),$BL40,$BL41)</f>
        <v>#REF!</v>
      </c>
      <c r="BP41" s="145" t="e">
        <f>VLOOKUP($BO41,$AS39:$BA42,9,FALSE)</f>
        <v>#REF!</v>
      </c>
      <c r="BQ41" s="145" t="e">
        <f>VLOOKUP($BO41,$AS39:$BA42,8,FALSE)</f>
        <v>#REF!</v>
      </c>
      <c r="BR41" s="145" t="e">
        <f>VLOOKUP($BO41,$AS39:$BA42,6,FALSE)</f>
        <v>#REF!</v>
      </c>
      <c r="BS41" s="145" t="e">
        <f>IF(AND($BP41=$BP42,$BQ41=$BQ42,$BR42&gt;$BR41),$BO42,$BO41)</f>
        <v>#REF!</v>
      </c>
      <c r="BT41" s="145" t="e">
        <f>VLOOKUP($BS41,$AS39:$BA42,9,FALSE)</f>
        <v>#REF!</v>
      </c>
      <c r="BU41" s="145" t="e">
        <f>VLOOKUP($BS41,$AS39:$BA42,8,FALSE)</f>
        <v>#REF!</v>
      </c>
      <c r="BV41" s="145" t="e">
        <f>VLOOKUP($BS41,$AS39:$BA42,6,FALSE)</f>
        <v>#REF!</v>
      </c>
      <c r="BW41" s="145" t="e">
        <f>IF(AND($BT39=$BT41,$BU39=$BU41,$BV40&gt;$BV39),$BS39,$BS41)</f>
        <v>#REF!</v>
      </c>
      <c r="BX41" s="145" t="e">
        <f>VLOOKUP($BW41,$AS39:$BA42,9,FALSE)</f>
        <v>#REF!</v>
      </c>
      <c r="BY41" s="145" t="e">
        <f>VLOOKUP($BW41,$AS39:$BA42,8,FALSE)</f>
        <v>#REF!</v>
      </c>
      <c r="BZ41" s="145" t="e">
        <f>VLOOKUP($BW41,$AS39:$BA42,6,FALSE)</f>
        <v>#REF!</v>
      </c>
      <c r="CA41" s="145" t="e">
        <f>IF(AND($BX40=$BX41,$BY40=$BY41,$BZ41&gt;$BZ40),$BW40,$BW41)</f>
        <v>#REF!</v>
      </c>
      <c r="CB41" s="145" t="e">
        <f>VLOOKUP($CA41,$AS39:$BA42,9,FALSE)</f>
        <v>#REF!</v>
      </c>
      <c r="CC41" s="145" t="e">
        <f>VLOOKUP($CA41,$AS39:$BA42,8,FALSE)</f>
        <v>#REF!</v>
      </c>
      <c r="CD41" s="145" t="e">
        <f>VLOOKUP($CA41,$AS39:$BA42,6,FALSE)</f>
        <v>#REF!</v>
      </c>
      <c r="CH41" s="145" t="e">
        <f>CA41</f>
        <v>#REF!</v>
      </c>
      <c r="CI41" s="145" t="e">
        <f>VLOOKUP($CH41,$AS39:$BA42,2,FALSE)</f>
        <v>#REF!</v>
      </c>
      <c r="CJ41" s="145" t="e">
        <f>VLOOKUP($CH41,$AS39:$BA42,3,FALSE)</f>
        <v>#REF!</v>
      </c>
      <c r="CK41" s="145" t="e">
        <f>VLOOKUP($CH41,$AS39:$BA42,4,FALSE)</f>
        <v>#REF!</v>
      </c>
      <c r="CL41" s="145" t="e">
        <f>VLOOKUP($CH41,$AS39:$BA42,5,FALSE)</f>
        <v>#REF!</v>
      </c>
      <c r="CM41" s="145" t="e">
        <f>VLOOKUP($CH41,$AS39:$BA42,6,FALSE)</f>
        <v>#REF!</v>
      </c>
      <c r="CN41" s="145" t="e">
        <f>VLOOKUP($CH41,$AS39:$BA42,7,FALSE)</f>
        <v>#REF!</v>
      </c>
      <c r="CO41" s="145" t="e">
        <f>VLOOKUP($CH41,$AS39:$BA42,8,FALSE)</f>
        <v>#REF!</v>
      </c>
      <c r="CP41" s="145" t="e">
        <f>VLOOKUP($CH41,$AS39:$BA42,9,FALSE)</f>
        <v>#REF!</v>
      </c>
      <c r="CR41" s="146" t="e">
        <f>#REF!</f>
        <v>#REF!</v>
      </c>
    </row>
    <row r="42" spans="1:96" ht="12.95" customHeight="1" thickBot="1" x14ac:dyDescent="0.25">
      <c r="A42" s="540"/>
      <c r="B42" s="518"/>
      <c r="C42" s="24"/>
      <c r="D42" s="337"/>
      <c r="E42" s="283"/>
      <c r="F42" s="518"/>
      <c r="G42" s="518"/>
      <c r="H42" s="518"/>
      <c r="I42" s="27"/>
      <c r="J42" s="283"/>
      <c r="K42" s="129"/>
      <c r="L42" s="552"/>
      <c r="M42" s="552"/>
      <c r="N42" s="552"/>
      <c r="O42" s="552"/>
      <c r="P42" s="552"/>
      <c r="R42" s="540"/>
      <c r="S42" s="518"/>
      <c r="U42" s="337"/>
      <c r="V42" s="283"/>
      <c r="W42" s="518"/>
      <c r="X42" s="518"/>
      <c r="Y42" s="518"/>
      <c r="Z42" s="27"/>
      <c r="AA42" s="283"/>
      <c r="AB42" s="129"/>
      <c r="AC42" s="518"/>
      <c r="AD42" s="518"/>
      <c r="AE42" s="518"/>
      <c r="AF42" s="518"/>
      <c r="AG42" s="518"/>
      <c r="AH42" s="69" t="s">
        <v>145</v>
      </c>
      <c r="AI42" s="70" t="s">
        <v>144</v>
      </c>
      <c r="AJ42" s="70">
        <f>I46</f>
        <v>0</v>
      </c>
      <c r="AK42" s="232">
        <f>K46</f>
        <v>0</v>
      </c>
      <c r="AL42" s="73" t="s">
        <v>134</v>
      </c>
      <c r="AM42" s="50" t="s">
        <v>133</v>
      </c>
      <c r="AN42" s="44" t="s">
        <v>137</v>
      </c>
      <c r="AO42" s="45" t="str">
        <f t="shared" si="4"/>
        <v>Draw</v>
      </c>
      <c r="AP42" s="45" t="str">
        <f t="shared" si="5"/>
        <v>Draw</v>
      </c>
      <c r="AQ42" s="45"/>
      <c r="AS42" s="16" t="str">
        <f>EINDRONDE!J17</f>
        <v>3e Beste nrs. 3</v>
      </c>
      <c r="AT42" s="16">
        <f>COUNT(Cameroon_Played)</f>
        <v>3</v>
      </c>
      <c r="AU42" s="16">
        <f>COUNTIF(Groupstage_Winners,"Cameroon")</f>
        <v>0</v>
      </c>
      <c r="AV42" s="16">
        <f>COUNTIF(Groupstage_Losers,"Cameroon")</f>
        <v>0</v>
      </c>
      <c r="AW42" s="16">
        <f>AT42-(AU42+AV42)</f>
        <v>3</v>
      </c>
      <c r="AX42" s="16">
        <f>SUM(Cameroon_Played)</f>
        <v>0</v>
      </c>
      <c r="AY42" s="16">
        <f>SUM(Cameroon_Against)</f>
        <v>0</v>
      </c>
      <c r="AZ42" s="16">
        <f>AX42-AY42</f>
        <v>0</v>
      </c>
      <c r="BA42" s="16">
        <f t="shared" si="14"/>
        <v>3</v>
      </c>
      <c r="BB42" s="16" t="str">
        <f>IF($BA42&lt;=$BA41,$AS42,$AS41)</f>
        <v>3e Beste nrs. 3</v>
      </c>
      <c r="BC42" s="16">
        <f>VLOOKUP($BB42,$AS39:$BA42,9,FALSE)</f>
        <v>3</v>
      </c>
      <c r="BD42" s="16" t="e">
        <f>IF(BC42&lt;=BC40,BB42,BB40)</f>
        <v>#REF!</v>
      </c>
      <c r="BE42" s="16" t="e">
        <f>VLOOKUP($BD42,$AS39:$BA42,9,FALSE)</f>
        <v>#REF!</v>
      </c>
      <c r="BF42" s="16" t="e">
        <f>IF($BE42&lt;=$BE39,$BD42,$BD39)</f>
        <v>#REF!</v>
      </c>
      <c r="BG42" s="16" t="e">
        <f>VLOOKUP($BF42,$AS39:$BA42,9,FALSE)</f>
        <v>#REF!</v>
      </c>
      <c r="BH42" s="16" t="e">
        <f>VLOOKUP($BF42,$AS39:$BA42,8,FALSE)</f>
        <v>#REF!</v>
      </c>
      <c r="BI42" s="16" t="e">
        <f>IF(AND($BG41=$BG42,$BH42&gt;$BH41),$BF41,$BF42)</f>
        <v>#REF!</v>
      </c>
      <c r="BJ42" s="16" t="e">
        <f>VLOOKUP($BI42,$AS39:$BA42,9,FALSE)</f>
        <v>#REF!</v>
      </c>
      <c r="BK42" s="16" t="e">
        <f>VLOOKUP($BI42,$AS39:$BA42,8,FALSE)</f>
        <v>#REF!</v>
      </c>
      <c r="BL42" s="16" t="e">
        <f>IF(AND($BJ40=$BJ42,$BK42&gt;$BK40),$BI40,$BI42)</f>
        <v>#REF!</v>
      </c>
      <c r="BM42" s="16" t="e">
        <f>VLOOKUP($BL42,$AS39:$BA42,9,FALSE)</f>
        <v>#REF!</v>
      </c>
      <c r="BN42" s="16" t="e">
        <f>VLOOKUP($BL42,$AS39:$BA42,8,FALSE)</f>
        <v>#REF!</v>
      </c>
      <c r="BO42" s="16" t="e">
        <f>IF(AND($BM39=$BM42,$BN42&gt;$BN39),$BL39,$BL42)</f>
        <v>#REF!</v>
      </c>
      <c r="BP42" s="16" t="e">
        <f>VLOOKUP($BO42,$AS39:$BA42,9,FALSE)</f>
        <v>#REF!</v>
      </c>
      <c r="BQ42" s="16" t="e">
        <f>VLOOKUP($BO42,$AS39:$BA42,8,FALSE)</f>
        <v>#REF!</v>
      </c>
      <c r="BR42" s="16" t="e">
        <f>VLOOKUP($BO42,$AS39:$BA42,6,FALSE)</f>
        <v>#REF!</v>
      </c>
      <c r="BS42" s="16" t="e">
        <f>IF(AND($BP41=$BP42,$BQ41=$BQ42,$BR42&gt;$BR41),$BO41,$BO42)</f>
        <v>#REF!</v>
      </c>
      <c r="BT42" s="16" t="e">
        <f>VLOOKUP($BS42,$AS39:$BA42,9,FALSE)</f>
        <v>#REF!</v>
      </c>
      <c r="BU42" s="16" t="e">
        <f>VLOOKUP($BS42,$AS39:$BA42,8,FALSE)</f>
        <v>#REF!</v>
      </c>
      <c r="BV42" s="16" t="e">
        <f>VLOOKUP($BS42,$AS39:$BA42,6,FALSE)</f>
        <v>#REF!</v>
      </c>
      <c r="BW42" s="16" t="e">
        <f>IF(AND($BT40=$BT42,$BU40=$BU42,$BV42&gt;$BV40),$BS40,$BS42)</f>
        <v>#REF!</v>
      </c>
      <c r="BX42" s="16" t="e">
        <f>VLOOKUP($BW42,$AS39:$BA42,9,FALSE)</f>
        <v>#REF!</v>
      </c>
      <c r="BY42" s="16" t="e">
        <f>VLOOKUP($BW42,$AS39:$BA42,8,FALSE)</f>
        <v>#REF!</v>
      </c>
      <c r="BZ42" s="16" t="e">
        <f>VLOOKUP($BW42,$AS39:$BA42,6,FALSE)</f>
        <v>#REF!</v>
      </c>
      <c r="CA42" s="16" t="e">
        <f>IF(AND($BX39=$BX42,$BY39=$BY42,$BZ42&gt;$BZ39),$BW39,$BW42)</f>
        <v>#REF!</v>
      </c>
      <c r="CB42" s="16" t="e">
        <f>VLOOKUP($CA42,$AS39:$BA42,9,FALSE)</f>
        <v>#REF!</v>
      </c>
      <c r="CC42" s="16" t="e">
        <f>VLOOKUP($CA42,$AS39:$BA42,8,FALSE)</f>
        <v>#REF!</v>
      </c>
      <c r="CD42" s="16" t="e">
        <f>VLOOKUP($CA42,$AS39:$BA42,6,FALSE)</f>
        <v>#REF!</v>
      </c>
      <c r="CH42" s="16" t="e">
        <f>CA42</f>
        <v>#REF!</v>
      </c>
      <c r="CI42" s="16" t="e">
        <f>VLOOKUP($CH42,$AS39:$BA42,2,FALSE)</f>
        <v>#REF!</v>
      </c>
      <c r="CJ42" s="16" t="e">
        <f>VLOOKUP($CH42,$AS39:$BA42,3,FALSE)</f>
        <v>#REF!</v>
      </c>
      <c r="CK42" s="16" t="e">
        <f>VLOOKUP($CH42,$AS39:$BA42,4,FALSE)</f>
        <v>#REF!</v>
      </c>
      <c r="CL42" s="16" t="e">
        <f>VLOOKUP($CH42,$AS39:$BA42,5,FALSE)</f>
        <v>#REF!</v>
      </c>
      <c r="CM42" s="16" t="e">
        <f>VLOOKUP($CH42,$AS39:$BA42,6,FALSE)</f>
        <v>#REF!</v>
      </c>
      <c r="CN42" s="16" t="e">
        <f>VLOOKUP($CH42,$AS39:$BA42,7,FALSE)</f>
        <v>#REF!</v>
      </c>
      <c r="CO42" s="16" t="e">
        <f>VLOOKUP($CH42,$AS39:$BA42,8,FALSE)</f>
        <v>#REF!</v>
      </c>
      <c r="CP42" s="16" t="e">
        <f>VLOOKUP($CH42,$AS39:$BA42,9,FALSE)</f>
        <v>#REF!</v>
      </c>
      <c r="CR42" s="21" t="e">
        <f>#REF!</f>
        <v>#REF!</v>
      </c>
    </row>
    <row r="43" spans="1:96" ht="12.95" customHeight="1" thickBot="1" x14ac:dyDescent="0.25">
      <c r="A43" s="540"/>
      <c r="B43" s="518"/>
      <c r="C43" s="24"/>
      <c r="D43" s="24"/>
      <c r="E43" s="283"/>
      <c r="F43" s="518"/>
      <c r="G43" s="518"/>
      <c r="H43" s="518"/>
      <c r="I43" s="27"/>
      <c r="J43" s="283"/>
      <c r="K43" s="129"/>
      <c r="L43" s="552"/>
      <c r="M43" s="552"/>
      <c r="N43" s="552"/>
      <c r="O43" s="552"/>
      <c r="P43" s="552"/>
      <c r="R43" s="540"/>
      <c r="S43" s="518"/>
      <c r="V43" s="283"/>
      <c r="W43" s="518"/>
      <c r="X43" s="518"/>
      <c r="Y43" s="518"/>
      <c r="Z43" s="27"/>
      <c r="AA43" s="283"/>
      <c r="AB43" s="129"/>
      <c r="AC43" s="518"/>
      <c r="AD43" s="518"/>
      <c r="AE43" s="518"/>
      <c r="AF43" s="518"/>
      <c r="AG43" s="518"/>
      <c r="AH43" s="69" t="s">
        <v>136</v>
      </c>
      <c r="AI43" s="70" t="s">
        <v>135</v>
      </c>
      <c r="AJ43" s="70">
        <f>I47</f>
        <v>0</v>
      </c>
      <c r="AK43" s="232">
        <f>K47</f>
        <v>0</v>
      </c>
      <c r="AL43" s="73" t="s">
        <v>143</v>
      </c>
      <c r="AM43" s="50" t="s">
        <v>142</v>
      </c>
      <c r="AN43" s="44" t="s">
        <v>137</v>
      </c>
      <c r="AO43" s="45" t="str">
        <f t="shared" si="4"/>
        <v>Draw</v>
      </c>
      <c r="AP43" s="45" t="str">
        <f t="shared" si="5"/>
        <v>Draw</v>
      </c>
      <c r="AQ43" s="45"/>
      <c r="CR43" s="21" t="e">
        <f>#REF!</f>
        <v>#REF!</v>
      </c>
    </row>
    <row r="44" spans="1:96" ht="12.95" customHeight="1" thickBot="1" x14ac:dyDescent="0.25">
      <c r="A44" s="540"/>
      <c r="B44" s="518"/>
      <c r="C44" s="24"/>
      <c r="D44" s="24"/>
      <c r="E44" s="283"/>
      <c r="F44" s="518"/>
      <c r="G44" s="518"/>
      <c r="H44" s="518"/>
      <c r="I44" s="27"/>
      <c r="J44" s="283"/>
      <c r="K44" s="129"/>
      <c r="L44" s="552"/>
      <c r="M44" s="552"/>
      <c r="N44" s="552"/>
      <c r="O44" s="552"/>
      <c r="P44" s="552"/>
      <c r="R44" s="540"/>
      <c r="S44" s="518"/>
      <c r="V44" s="283"/>
      <c r="W44" s="518"/>
      <c r="X44" s="518"/>
      <c r="Y44" s="518"/>
      <c r="Z44" s="27"/>
      <c r="AA44" s="283"/>
      <c r="AB44" s="129"/>
      <c r="AC44" s="518"/>
      <c r="AD44" s="518"/>
      <c r="AE44" s="518"/>
      <c r="AF44" s="518"/>
      <c r="AG44" s="518"/>
      <c r="AH44" s="69" t="s">
        <v>158</v>
      </c>
      <c r="AI44" s="70" t="s">
        <v>157</v>
      </c>
      <c r="AJ44" s="70">
        <f>Z46</f>
        <v>0</v>
      </c>
      <c r="AK44" s="232">
        <f>AB46</f>
        <v>0</v>
      </c>
      <c r="AL44" s="73" t="s">
        <v>147</v>
      </c>
      <c r="AM44" s="50" t="s">
        <v>146</v>
      </c>
      <c r="AN44" s="44" t="s">
        <v>127</v>
      </c>
      <c r="AO44" s="45" t="str">
        <f t="shared" si="4"/>
        <v>Draw</v>
      </c>
      <c r="AP44" s="45" t="str">
        <f t="shared" si="5"/>
        <v>Draw</v>
      </c>
      <c r="AQ44" s="45"/>
      <c r="AS44" s="16" t="s">
        <v>207</v>
      </c>
      <c r="CR44" s="21" t="e">
        <f>#REF!</f>
        <v>#REF!</v>
      </c>
    </row>
    <row r="45" spans="1:96" ht="12.95" customHeight="1" thickBot="1" x14ac:dyDescent="0.25">
      <c r="A45" s="540"/>
      <c r="B45" s="518"/>
      <c r="C45" s="24"/>
      <c r="D45" s="24"/>
      <c r="E45" s="283"/>
      <c r="F45" s="518"/>
      <c r="G45" s="518"/>
      <c r="H45" s="518"/>
      <c r="I45" s="27"/>
      <c r="J45" s="283"/>
      <c r="K45" s="129"/>
      <c r="L45" s="552"/>
      <c r="M45" s="552"/>
      <c r="N45" s="552"/>
      <c r="O45" s="552"/>
      <c r="P45" s="552"/>
      <c r="R45" s="540"/>
      <c r="S45" s="518"/>
      <c r="V45" s="283"/>
      <c r="W45" s="518"/>
      <c r="X45" s="518"/>
      <c r="Y45" s="518"/>
      <c r="Z45" s="27"/>
      <c r="AA45" s="283"/>
      <c r="AB45" s="129"/>
      <c r="AC45" s="518"/>
      <c r="AD45" s="518"/>
      <c r="AE45" s="518"/>
      <c r="AF45" s="518"/>
      <c r="AG45" s="518"/>
      <c r="AH45" s="69" t="s">
        <v>149</v>
      </c>
      <c r="AI45" s="70" t="s">
        <v>148</v>
      </c>
      <c r="AJ45" s="70">
        <f>Z47</f>
        <v>0</v>
      </c>
      <c r="AK45" s="232">
        <f>AB47</f>
        <v>0</v>
      </c>
      <c r="AL45" s="73" t="s">
        <v>156</v>
      </c>
      <c r="AM45" s="50" t="s">
        <v>155</v>
      </c>
      <c r="AN45" s="44" t="s">
        <v>127</v>
      </c>
      <c r="AO45" s="45" t="str">
        <f t="shared" si="4"/>
        <v>Draw</v>
      </c>
      <c r="AP45" s="45" t="str">
        <f t="shared" si="5"/>
        <v>Draw</v>
      </c>
      <c r="AQ45" s="45"/>
      <c r="AT45" s="16" t="s">
        <v>124</v>
      </c>
      <c r="AU45" s="16" t="s">
        <v>110</v>
      </c>
      <c r="AV45" s="16" t="s">
        <v>125</v>
      </c>
      <c r="AW45" s="16" t="s">
        <v>126</v>
      </c>
      <c r="AX45" s="16" t="s">
        <v>127</v>
      </c>
      <c r="AY45" s="16" t="s">
        <v>123</v>
      </c>
      <c r="AZ45" s="16" t="s">
        <v>128</v>
      </c>
      <c r="BA45" s="16" t="s">
        <v>129</v>
      </c>
      <c r="CR45" s="21" t="e">
        <f>#REF!</f>
        <v>#REF!</v>
      </c>
    </row>
    <row r="46" spans="1:96" ht="12.95" customHeight="1" thickBot="1" x14ac:dyDescent="0.25">
      <c r="A46" s="540"/>
      <c r="B46" s="518"/>
      <c r="C46" s="24"/>
      <c r="D46" s="24"/>
      <c r="E46" s="283"/>
      <c r="F46" s="518"/>
      <c r="G46" s="518"/>
      <c r="H46" s="518"/>
      <c r="I46" s="27"/>
      <c r="J46" s="283"/>
      <c r="K46" s="129"/>
      <c r="L46" s="552"/>
      <c r="M46" s="552"/>
      <c r="N46" s="552"/>
      <c r="O46" s="552"/>
      <c r="P46" s="552"/>
      <c r="R46" s="540"/>
      <c r="S46" s="518"/>
      <c r="V46" s="283"/>
      <c r="W46" s="518"/>
      <c r="X46" s="518"/>
      <c r="Y46" s="518"/>
      <c r="Z46" s="27"/>
      <c r="AA46" s="283"/>
      <c r="AB46" s="129"/>
      <c r="AC46" s="518"/>
      <c r="AD46" s="518"/>
      <c r="AE46" s="518"/>
      <c r="AF46" s="518"/>
      <c r="AG46" s="518"/>
      <c r="AH46" s="69" t="s">
        <v>163</v>
      </c>
      <c r="AI46" s="70" t="s">
        <v>162</v>
      </c>
      <c r="AJ46" s="70" t="e">
        <f>#REF!</f>
        <v>#REF!</v>
      </c>
      <c r="AK46" s="232" t="e">
        <f>#REF!</f>
        <v>#REF!</v>
      </c>
      <c r="AL46" s="73" t="s">
        <v>151</v>
      </c>
      <c r="AM46" s="50" t="s">
        <v>150</v>
      </c>
      <c r="AN46" s="44" t="s">
        <v>154</v>
      </c>
      <c r="AO46" s="45" t="e">
        <f t="shared" si="4"/>
        <v>#REF!</v>
      </c>
      <c r="AP46" s="45" t="e">
        <f t="shared" si="5"/>
        <v>#REF!</v>
      </c>
      <c r="AQ46" s="45"/>
      <c r="AS46" s="16" t="e">
        <f>EINDRONDE!P14</f>
        <v>#REF!</v>
      </c>
      <c r="AT46" s="16">
        <f>COUNT(Argentina_Played)</f>
        <v>3</v>
      </c>
      <c r="AU46" s="16">
        <f>COUNTIF(Groupstage_Winners,"Argentina")</f>
        <v>0</v>
      </c>
      <c r="AV46" s="16">
        <f>COUNTIF(Groupstage_Losers,"Argentina")</f>
        <v>0</v>
      </c>
      <c r="AW46" s="16">
        <f>AT46-(AU46+AV46)</f>
        <v>3</v>
      </c>
      <c r="AX46" s="16">
        <f>SUM(Argentina_Played)</f>
        <v>0</v>
      </c>
      <c r="AY46" s="16">
        <f>SUM(Argentina_Against)</f>
        <v>0</v>
      </c>
      <c r="AZ46" s="16">
        <f>AX46-AY46</f>
        <v>0</v>
      </c>
      <c r="BA46" s="16">
        <f>SUM((AU46*3)+(AW46*1))</f>
        <v>3</v>
      </c>
      <c r="BB46" s="16" t="e">
        <f>IF($BA46&gt;=$BA47,$AS46,$AS47)</f>
        <v>#REF!</v>
      </c>
      <c r="BC46" s="16" t="e">
        <f>VLOOKUP($BB46,$AS46:$BA49,9,FALSE)</f>
        <v>#REF!</v>
      </c>
      <c r="BD46" s="16" t="e">
        <f>IF($BC46&gt;=$BC48,$BB46,$BB48)</f>
        <v>#REF!</v>
      </c>
      <c r="BE46" s="16" t="e">
        <f>VLOOKUP($BD46,$AS46:$BA49,9,FALSE)</f>
        <v>#REF!</v>
      </c>
      <c r="BF46" s="16" t="e">
        <f>IF($BE46&gt;=$BE49,$BD46,$BD49)</f>
        <v>#REF!</v>
      </c>
      <c r="BG46" s="16" t="e">
        <f>VLOOKUP($BF46,$AS46:$BA49,9,FALSE)</f>
        <v>#REF!</v>
      </c>
      <c r="BH46" s="16" t="e">
        <f>VLOOKUP($BF46,$AS46:$BA49,8,FALSE)</f>
        <v>#REF!</v>
      </c>
      <c r="BI46" s="16" t="e">
        <f>IF(AND($BG46=$BG47,$BH47&gt;$BH46),$BF47,$BF46)</f>
        <v>#REF!</v>
      </c>
      <c r="BJ46" s="16" t="e">
        <f>VLOOKUP($BI46,$AS46:$BA49,9,FALSE)</f>
        <v>#REF!</v>
      </c>
      <c r="BK46" s="16" t="e">
        <f>VLOOKUP($BI46,$AS46:$BA49,8,FALSE)</f>
        <v>#REF!</v>
      </c>
      <c r="BL46" s="16" t="e">
        <f>IF(AND($BJ46=$BJ48,$BK48&gt;$BK46),$BI48,$BI46)</f>
        <v>#REF!</v>
      </c>
      <c r="BM46" s="16" t="e">
        <f>VLOOKUP($BL46,$AS46:$BA49,9,FALSE)</f>
        <v>#REF!</v>
      </c>
      <c r="BN46" s="16" t="e">
        <f>VLOOKUP($BL46,$AS46:$BA49,8,FALSE)</f>
        <v>#REF!</v>
      </c>
      <c r="BO46" s="16" t="e">
        <f>IF(AND($BM46=$BM49,$BN49&gt;$BN46),$BL49,$BL46)</f>
        <v>#REF!</v>
      </c>
      <c r="BP46" s="16" t="e">
        <f>VLOOKUP($BO46,$AS46:$BA49,9,FALSE)</f>
        <v>#REF!</v>
      </c>
      <c r="BQ46" s="16" t="e">
        <f>VLOOKUP($BO46,$AS46:$BA49,8,FALSE)</f>
        <v>#REF!</v>
      </c>
      <c r="BR46" s="16" t="e">
        <f>VLOOKUP($BO46,$AS46:$BA49,6,FALSE)</f>
        <v>#REF!</v>
      </c>
      <c r="BS46" s="16" t="e">
        <f>IF(AND($BP46=$BP47,$BQ46=$BQ47,$BR47&gt;$BR46),$BO47,$BO46)</f>
        <v>#REF!</v>
      </c>
      <c r="BT46" s="16" t="e">
        <f>VLOOKUP($BS46,$AS46:$BA49,9,FALSE)</f>
        <v>#REF!</v>
      </c>
      <c r="BU46" s="16" t="e">
        <f>VLOOKUP($BS46,$AS46:$BA49,8,FALSE)</f>
        <v>#REF!</v>
      </c>
      <c r="BV46" s="16" t="e">
        <f>VLOOKUP($BS46,$AS46:$BA49,6,FALSE)</f>
        <v>#REF!</v>
      </c>
      <c r="BW46" s="16" t="e">
        <f>IF(AND($BT46=$BT48,$BU46=$BU48,$BV48&gt;$BV46),$BS48,$BS46)</f>
        <v>#REF!</v>
      </c>
      <c r="BX46" s="16" t="e">
        <f>VLOOKUP($BW46,$AS46:$BA49,9,FALSE)</f>
        <v>#REF!</v>
      </c>
      <c r="BY46" s="16" t="e">
        <f>VLOOKUP($BW46,$AS46:$BA49,8,FALSE)</f>
        <v>#REF!</v>
      </c>
      <c r="BZ46" s="16" t="e">
        <f>VLOOKUP($BW46,$AS46:$BA49,6,FALSE)</f>
        <v>#REF!</v>
      </c>
      <c r="CA46" s="16" t="e">
        <f>IF(AND($BX46=$BX49,$BY46=$BY49,$BZ49&gt;$BZ46),$BW49,$BW46)</f>
        <v>#REF!</v>
      </c>
      <c r="CB46" s="16" t="e">
        <f>VLOOKUP($CA46,$AS46:$BA49,9,FALSE)</f>
        <v>#REF!</v>
      </c>
      <c r="CC46" s="16" t="e">
        <f>VLOOKUP($CA46,$AS46:$BA49,8,FALSE)</f>
        <v>#REF!</v>
      </c>
      <c r="CD46" s="16" t="e">
        <f>VLOOKUP($CA46,$AS46:$BA49,6,FALSE)</f>
        <v>#REF!</v>
      </c>
      <c r="CH46" s="16" t="e">
        <f>CA46</f>
        <v>#REF!</v>
      </c>
      <c r="CI46" s="16" t="e">
        <f>VLOOKUP($CH46,$AS46:$BA49,2,FALSE)</f>
        <v>#REF!</v>
      </c>
      <c r="CJ46" s="16" t="e">
        <f>VLOOKUP($CH46,$AS46:$BA49,3,FALSE)</f>
        <v>#REF!</v>
      </c>
      <c r="CK46" s="16" t="e">
        <f>VLOOKUP($CH46,$AS46:$BA49,4,FALSE)</f>
        <v>#REF!</v>
      </c>
      <c r="CL46" s="16" t="e">
        <f>VLOOKUP($CH46,$AS46:$BA49,5,FALSE)</f>
        <v>#REF!</v>
      </c>
      <c r="CM46" s="16" t="e">
        <f>VLOOKUP($CH46,$AS46:$BA49,6,FALSE)</f>
        <v>#REF!</v>
      </c>
      <c r="CN46" s="16" t="e">
        <f>VLOOKUP($CH46,$AS46:$BA49,7,FALSE)</f>
        <v>#REF!</v>
      </c>
      <c r="CO46" s="16" t="e">
        <f>VLOOKUP($CH46,$AS46:$BA49,8,FALSE)</f>
        <v>#REF!</v>
      </c>
      <c r="CP46" s="16" t="e">
        <f>VLOOKUP($CH46,$AS46:$BA49,9,FALSE)</f>
        <v>#REF!</v>
      </c>
      <c r="CR46" s="21" t="e">
        <f>#REF!</f>
        <v>#REF!</v>
      </c>
    </row>
    <row r="47" spans="1:96" ht="12.95" customHeight="1" thickBot="1" x14ac:dyDescent="0.25">
      <c r="A47" s="540"/>
      <c r="B47" s="518"/>
      <c r="C47" s="24"/>
      <c r="D47" s="24"/>
      <c r="E47" s="283"/>
      <c r="F47" s="518"/>
      <c r="G47" s="518"/>
      <c r="H47" s="518"/>
      <c r="I47" s="27"/>
      <c r="J47" s="283"/>
      <c r="K47" s="129"/>
      <c r="L47" s="552"/>
      <c r="M47" s="552"/>
      <c r="N47" s="552"/>
      <c r="O47" s="552"/>
      <c r="P47" s="552"/>
      <c r="R47" s="540"/>
      <c r="S47" s="518"/>
      <c r="V47" s="283"/>
      <c r="W47" s="518"/>
      <c r="X47" s="518"/>
      <c r="Y47" s="518"/>
      <c r="Z47" s="27"/>
      <c r="AA47" s="283"/>
      <c r="AB47" s="129"/>
      <c r="AC47" s="518"/>
      <c r="AD47" s="518"/>
      <c r="AE47" s="518"/>
      <c r="AF47" s="518"/>
      <c r="AG47" s="518"/>
      <c r="AH47" s="69" t="s">
        <v>153</v>
      </c>
      <c r="AI47" s="70" t="s">
        <v>152</v>
      </c>
      <c r="AJ47" s="70" t="e">
        <f>#REF!</f>
        <v>#REF!</v>
      </c>
      <c r="AK47" s="232" t="e">
        <f>#REF!</f>
        <v>#REF!</v>
      </c>
      <c r="AL47" s="73" t="s">
        <v>161</v>
      </c>
      <c r="AM47" s="50" t="s">
        <v>160</v>
      </c>
      <c r="AN47" s="44" t="s">
        <v>154</v>
      </c>
      <c r="AO47" s="45" t="e">
        <f t="shared" si="4"/>
        <v>#REF!</v>
      </c>
      <c r="AP47" s="45" t="e">
        <f t="shared" si="5"/>
        <v>#REF!</v>
      </c>
      <c r="AQ47" s="45"/>
      <c r="AS47" s="16" t="str">
        <f>EINDRONDE!P15</f>
        <v>AccentSport Rakkers</v>
      </c>
      <c r="AT47" s="16">
        <f>COUNT(Nigeria_Played)</f>
        <v>3</v>
      </c>
      <c r="AU47" s="16">
        <f>COUNTIF(Groupstage_Winners,"Nigeria")</f>
        <v>0</v>
      </c>
      <c r="AV47" s="16">
        <f>COUNTIF(Groupstage_Losers,"Nigeria")</f>
        <v>0</v>
      </c>
      <c r="AW47" s="16">
        <f>AT47-(AU47+AV47)</f>
        <v>3</v>
      </c>
      <c r="AX47" s="16">
        <f>SUM(Nigeria_Played)</f>
        <v>0</v>
      </c>
      <c r="AY47" s="16">
        <f>SUM(Nigeria_Against)</f>
        <v>0</v>
      </c>
      <c r="AZ47" s="16">
        <f>AX47-AY47</f>
        <v>0</v>
      </c>
      <c r="BA47" s="16">
        <f t="shared" ref="BA47:BA49" si="15">SUM((AU47*3)+(AW47*1))</f>
        <v>3</v>
      </c>
      <c r="BB47" s="16" t="str">
        <f>IF($BA47&lt;=$BA46,$AS47,$AS46)</f>
        <v>AccentSport Rakkers</v>
      </c>
      <c r="BC47" s="16">
        <f>VLOOKUP($BB47,$AS46:$BA49,9,FALSE)</f>
        <v>3</v>
      </c>
      <c r="BD47" s="16" t="str">
        <f>IF(BC47&gt;=BC49,BB47,BB49)</f>
        <v>AccentSport Rakkers</v>
      </c>
      <c r="BE47" s="16">
        <f>VLOOKUP($BD47,$AS46:$BA49,9,FALSE)</f>
        <v>3</v>
      </c>
      <c r="BF47" s="16" t="e">
        <f>IF($BE47&gt;=$BE48,$BD47,$BD48)</f>
        <v>#REF!</v>
      </c>
      <c r="BG47" s="16" t="e">
        <f>VLOOKUP($BF47,$AS46:$BA49,9,FALSE)</f>
        <v>#REF!</v>
      </c>
      <c r="BH47" s="16" t="e">
        <f>VLOOKUP($BF47,$AS46:$BA49,8,FALSE)</f>
        <v>#REF!</v>
      </c>
      <c r="BI47" s="16" t="e">
        <f>IF(AND($BG46=$BG47,$BH47&gt;$BH46),$BF46,$BF47)</f>
        <v>#REF!</v>
      </c>
      <c r="BJ47" s="16" t="e">
        <f>VLOOKUP($BI47,$AS46:$BA49,9,FALSE)</f>
        <v>#REF!</v>
      </c>
      <c r="BK47" s="16" t="e">
        <f>VLOOKUP($BI47,$AS46:$BA49,8,FALSE)</f>
        <v>#REF!</v>
      </c>
      <c r="BL47" s="16" t="e">
        <f>IF(AND($BJ47=$BJ49,$BK49&gt;$BK47),$BI49,$BI47)</f>
        <v>#REF!</v>
      </c>
      <c r="BM47" s="16" t="e">
        <f>VLOOKUP($BL47,$AS46:$BA49,9,FALSE)</f>
        <v>#REF!</v>
      </c>
      <c r="BN47" s="16" t="e">
        <f>VLOOKUP($BL47,$AS46:$BA49,8,FALSE)</f>
        <v>#REF!</v>
      </c>
      <c r="BO47" s="16" t="e">
        <f>IF(AND($BM47=$BM48,$BN48&gt;$BN47),$BL48,$BL47)</f>
        <v>#REF!</v>
      </c>
      <c r="BP47" s="16" t="e">
        <f>VLOOKUP($BO47,$AS46:$BA49,9,FALSE)</f>
        <v>#REF!</v>
      </c>
      <c r="BQ47" s="16" t="e">
        <f>VLOOKUP($BO47,$AS46:$BA49,8,FALSE)</f>
        <v>#REF!</v>
      </c>
      <c r="BR47" s="16" t="e">
        <f>VLOOKUP($BO47,$AS46:$BA49,6,FALSE)</f>
        <v>#REF!</v>
      </c>
      <c r="BS47" s="16" t="e">
        <f>IF(AND($BP46=$BP47,$BQ46=$BQ47,$BR47&gt;$BR46),$BO46,$BO47)</f>
        <v>#REF!</v>
      </c>
      <c r="BT47" s="16" t="e">
        <f>VLOOKUP($BS47,$AS46:$BA49,9,FALSE)</f>
        <v>#REF!</v>
      </c>
      <c r="BU47" s="16" t="e">
        <f>VLOOKUP($BS47,$AS46:$BA49,8,FALSE)</f>
        <v>#REF!</v>
      </c>
      <c r="BV47" s="16" t="e">
        <f>VLOOKUP($BS47,$AS46:$BA49,6,FALSE)</f>
        <v>#REF!</v>
      </c>
      <c r="BW47" s="16" t="e">
        <f>IF(AND($BT47=$BT49,$BU47=$BU49,$BV49&gt;$BV47),$BS49,$BS47)</f>
        <v>#REF!</v>
      </c>
      <c r="BX47" s="16" t="e">
        <f>VLOOKUP($BW47,$AS46:$BA49,9,FALSE)</f>
        <v>#REF!</v>
      </c>
      <c r="BY47" s="16" t="e">
        <f>VLOOKUP($BW47,$AS46:$BA49,8,FALSE)</f>
        <v>#REF!</v>
      </c>
      <c r="BZ47" s="16" t="e">
        <f>VLOOKUP($BW47,$AS46:$BA49,6,FALSE)</f>
        <v>#REF!</v>
      </c>
      <c r="CA47" s="16" t="e">
        <f>IF(AND($BX47=$BX48,$BY47=$BY48,$BZ48&gt;$BZ47),$BW48,$BW47)</f>
        <v>#REF!</v>
      </c>
      <c r="CB47" s="16" t="e">
        <f>VLOOKUP($CA47,$AS46:$BA49,9,FALSE)</f>
        <v>#REF!</v>
      </c>
      <c r="CC47" s="16" t="e">
        <f>VLOOKUP($CA47,$AS46:$BA49,8,FALSE)</f>
        <v>#REF!</v>
      </c>
      <c r="CD47" s="16" t="e">
        <f>VLOOKUP($CA47,$AS46:$BA49,6,FALSE)</f>
        <v>#REF!</v>
      </c>
      <c r="CH47" s="16" t="e">
        <f>CA47</f>
        <v>#REF!</v>
      </c>
      <c r="CI47" s="16" t="e">
        <f>VLOOKUP($CH47,$AS46:$BA49,2,FALSE)</f>
        <v>#REF!</v>
      </c>
      <c r="CJ47" s="16" t="e">
        <f>VLOOKUP($CH47,$AS46:$BA49,3,FALSE)</f>
        <v>#REF!</v>
      </c>
      <c r="CK47" s="16" t="e">
        <f>VLOOKUP($CH47,$AS46:$BA49,4,FALSE)</f>
        <v>#REF!</v>
      </c>
      <c r="CL47" s="16" t="e">
        <f>VLOOKUP($CH47,$AS46:$BA49,5,FALSE)</f>
        <v>#REF!</v>
      </c>
      <c r="CM47" s="16" t="e">
        <f>VLOOKUP($CH47,$AS46:$BA49,6,FALSE)</f>
        <v>#REF!</v>
      </c>
      <c r="CN47" s="16" t="e">
        <f>VLOOKUP($CH47,$AS46:$BA49,7,FALSE)</f>
        <v>#REF!</v>
      </c>
      <c r="CO47" s="16" t="e">
        <f>VLOOKUP($CH47,$AS46:$BA49,8,FALSE)</f>
        <v>#REF!</v>
      </c>
      <c r="CP47" s="16" t="e">
        <f>VLOOKUP($CH47,$AS46:$BA49,9,FALSE)</f>
        <v>#REF!</v>
      </c>
      <c r="CR47" s="21" t="e">
        <f>#REF!</f>
        <v>#REF!</v>
      </c>
    </row>
    <row r="48" spans="1:96" ht="13.5" thickBot="1" x14ac:dyDescent="0.25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AH48" s="69" t="s">
        <v>171</v>
      </c>
      <c r="AI48" s="70" t="s">
        <v>170</v>
      </c>
      <c r="AJ48" s="70" t="e">
        <f>I30</f>
        <v>#REF!</v>
      </c>
      <c r="AK48" s="232" t="e">
        <f>K30</f>
        <v>#REF!</v>
      </c>
      <c r="AL48" s="73" t="s">
        <v>178</v>
      </c>
      <c r="AM48" s="52" t="s">
        <v>177</v>
      </c>
      <c r="AN48" s="44" t="s">
        <v>172</v>
      </c>
      <c r="AO48" s="45" t="e">
        <f t="shared" si="4"/>
        <v>#REF!</v>
      </c>
      <c r="AP48" s="45" t="e">
        <f t="shared" si="5"/>
        <v>#REF!</v>
      </c>
      <c r="AQ48" s="45"/>
      <c r="AS48" s="16" t="str">
        <f>EINDRONDE!P16</f>
        <v>2e Poule B</v>
      </c>
      <c r="AT48" s="16">
        <f>COUNT(England_Played)</f>
        <v>3</v>
      </c>
      <c r="AU48" s="16">
        <f>COUNTIF(Groupstage_Winners,"England")</f>
        <v>0</v>
      </c>
      <c r="AV48" s="16">
        <f>COUNTIF(Groupstage_Losers,"England")</f>
        <v>0</v>
      </c>
      <c r="AW48" s="16">
        <f>AT48-(AU48+AV48)</f>
        <v>3</v>
      </c>
      <c r="AX48" s="16">
        <f>SUM(England_Played)</f>
        <v>0</v>
      </c>
      <c r="AY48" s="16">
        <f>SUM(England_Against)</f>
        <v>0</v>
      </c>
      <c r="AZ48" s="16">
        <f>AX48-AY48</f>
        <v>0</v>
      </c>
      <c r="BA48" s="16">
        <f t="shared" si="15"/>
        <v>3</v>
      </c>
      <c r="BB48" s="16" t="str">
        <f>IF($BA48&gt;=$BA49,$AS48,$AS49)</f>
        <v>2e Poule B</v>
      </c>
      <c r="BC48" s="16">
        <f>VLOOKUP($BB48,$AS46:$BA49,9,FALSE)</f>
        <v>3</v>
      </c>
      <c r="BD48" s="16" t="e">
        <f>IF($BC48&lt;=$BC46,$BB48,$BB46)</f>
        <v>#REF!</v>
      </c>
      <c r="BE48" s="16" t="e">
        <f>VLOOKUP($BD48,$AS46:$BA49,9,FALSE)</f>
        <v>#REF!</v>
      </c>
      <c r="BF48" s="16" t="e">
        <f>IF($BE48&lt;=$BE47,$BD48,$BD47)</f>
        <v>#REF!</v>
      </c>
      <c r="BG48" s="16" t="e">
        <f>VLOOKUP($BF48,$AS46:$BA49,9,FALSE)</f>
        <v>#REF!</v>
      </c>
      <c r="BH48" s="16" t="e">
        <f>VLOOKUP($BF48,$AS46:$BA49,8,FALSE)</f>
        <v>#REF!</v>
      </c>
      <c r="BI48" s="16" t="e">
        <f>IF(AND($BG48=$BG49,$BH49&gt;$BH48),$BF49,$BF48)</f>
        <v>#REF!</v>
      </c>
      <c r="BJ48" s="16" t="e">
        <f>VLOOKUP($BI48,$AS46:$BA49,9,FALSE)</f>
        <v>#REF!</v>
      </c>
      <c r="BK48" s="16" t="e">
        <f>VLOOKUP($BI48,$AS46:$BA49,8,FALSE)</f>
        <v>#REF!</v>
      </c>
      <c r="BL48" s="16" t="e">
        <f>IF(AND($BJ46=$BJ48,$BK48&gt;$BK46),$BI46,$BI48)</f>
        <v>#REF!</v>
      </c>
      <c r="BM48" s="16" t="e">
        <f>VLOOKUP($BL48,$AS46:$BA49,9,FALSE)</f>
        <v>#REF!</v>
      </c>
      <c r="BN48" s="16" t="e">
        <f>VLOOKUP($BL48,$AS46:$BA49,8,FALSE)</f>
        <v>#REF!</v>
      </c>
      <c r="BO48" s="16" t="e">
        <f>IF(AND($BM47=$BM48,$BN48&gt;$BN47),$BL47,$BL48)</f>
        <v>#REF!</v>
      </c>
      <c r="BP48" s="16" t="e">
        <f>VLOOKUP($BO48,$AS46:$BA49,9,FALSE)</f>
        <v>#REF!</v>
      </c>
      <c r="BQ48" s="16" t="e">
        <f>VLOOKUP($BO48,$AS46:$BA49,8,FALSE)</f>
        <v>#REF!</v>
      </c>
      <c r="BR48" s="16" t="e">
        <f>VLOOKUP($BO48,$AS46:$BA49,6,FALSE)</f>
        <v>#REF!</v>
      </c>
      <c r="BS48" s="16" t="e">
        <f>IF(AND($BP48=$BP49,$BQ48=$BQ49,$BR49&gt;$BR48),$BO49,$BO48)</f>
        <v>#REF!</v>
      </c>
      <c r="BT48" s="16" t="e">
        <f>VLOOKUP($BS48,$AS46:$BA49,9,FALSE)</f>
        <v>#REF!</v>
      </c>
      <c r="BU48" s="16" t="e">
        <f>VLOOKUP($BS48,$AS46:$BA49,8,FALSE)</f>
        <v>#REF!</v>
      </c>
      <c r="BV48" s="16" t="e">
        <f>VLOOKUP($BS48,$AS46:$BA49,6,FALSE)</f>
        <v>#REF!</v>
      </c>
      <c r="BW48" s="16" t="e">
        <f>IF(AND($BT46=$BT48,$BU46=$BU48,$BV47&gt;$BV46),$BS46,$BS48)</f>
        <v>#REF!</v>
      </c>
      <c r="BX48" s="16" t="e">
        <f>VLOOKUP($BW48,$AS46:$BA49,9,FALSE)</f>
        <v>#REF!</v>
      </c>
      <c r="BY48" s="16" t="e">
        <f>VLOOKUP($BW48,$AS46:$BA49,8,FALSE)</f>
        <v>#REF!</v>
      </c>
      <c r="BZ48" s="16" t="e">
        <f>VLOOKUP($BW48,$AS46:$BA49,6,FALSE)</f>
        <v>#REF!</v>
      </c>
      <c r="CA48" s="16" t="e">
        <f>IF(AND($BX47=$BX48,$BY47=$BY48,$BZ48&gt;$BZ47),$BW47,$BW48)</f>
        <v>#REF!</v>
      </c>
      <c r="CB48" s="16" t="e">
        <f>VLOOKUP($CA48,$AS46:$BA49,9,FALSE)</f>
        <v>#REF!</v>
      </c>
      <c r="CC48" s="16" t="e">
        <f>VLOOKUP($CA48,$AS46:$BA49,8,FALSE)</f>
        <v>#REF!</v>
      </c>
      <c r="CD48" s="16" t="e">
        <f>VLOOKUP($CA48,$AS46:$BA49,6,FALSE)</f>
        <v>#REF!</v>
      </c>
      <c r="CH48" s="16" t="e">
        <f>CA48</f>
        <v>#REF!</v>
      </c>
      <c r="CI48" s="16" t="e">
        <f>VLOOKUP($CH48,$AS46:$BA49,2,FALSE)</f>
        <v>#REF!</v>
      </c>
      <c r="CJ48" s="16" t="e">
        <f>VLOOKUP($CH48,$AS46:$BA49,3,FALSE)</f>
        <v>#REF!</v>
      </c>
      <c r="CK48" s="16" t="e">
        <f>VLOOKUP($CH48,$AS46:$BA49,4,FALSE)</f>
        <v>#REF!</v>
      </c>
      <c r="CL48" s="16" t="e">
        <f>VLOOKUP($CH48,$AS46:$BA49,5,FALSE)</f>
        <v>#REF!</v>
      </c>
      <c r="CM48" s="16" t="e">
        <f>VLOOKUP($CH48,$AS46:$BA49,6,FALSE)</f>
        <v>#REF!</v>
      </c>
      <c r="CN48" s="16" t="e">
        <f>VLOOKUP($CH48,$AS46:$BA49,7,FALSE)</f>
        <v>#REF!</v>
      </c>
      <c r="CO48" s="16" t="e">
        <f>VLOOKUP($CH48,$AS46:$BA49,8,FALSE)</f>
        <v>#REF!</v>
      </c>
      <c r="CP48" s="16" t="e">
        <f>VLOOKUP($CH48,$AS46:$BA49,9,FALSE)</f>
        <v>#REF!</v>
      </c>
      <c r="CR48" s="21" t="e">
        <f>#REF!</f>
        <v>#REF!</v>
      </c>
    </row>
    <row r="49" spans="2:96" ht="13.5" thickBot="1" x14ac:dyDescent="0.25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AH49" s="70" t="s">
        <v>180</v>
      </c>
      <c r="AI49" s="70" t="s">
        <v>179</v>
      </c>
      <c r="AJ49" s="70" t="e">
        <f>I31</f>
        <v>#REF!</v>
      </c>
      <c r="AK49" s="232" t="e">
        <f>K31</f>
        <v>#REF!</v>
      </c>
      <c r="AL49" s="73" t="s">
        <v>169</v>
      </c>
      <c r="AM49" s="51" t="s">
        <v>168</v>
      </c>
      <c r="AN49" s="44" t="s">
        <v>172</v>
      </c>
      <c r="AO49" s="45" t="e">
        <f t="shared" si="4"/>
        <v>#REF!</v>
      </c>
      <c r="AP49" s="45" t="e">
        <f t="shared" si="5"/>
        <v>#REF!</v>
      </c>
      <c r="AQ49" s="45"/>
      <c r="AS49" s="16" t="str">
        <f>EINDRONDE!P17</f>
        <v>De Kabel</v>
      </c>
      <c r="AT49" s="16">
        <f>COUNT(Sweden_Played)</f>
        <v>3</v>
      </c>
      <c r="AU49" s="16">
        <f>COUNTIF(Groupstage_Winners,"Sweden")</f>
        <v>0</v>
      </c>
      <c r="AV49" s="16">
        <f>COUNTIF(Groupstage_Losers,"Sweden")</f>
        <v>0</v>
      </c>
      <c r="AW49" s="16">
        <f>AT49-(AU49+AV49)</f>
        <v>3</v>
      </c>
      <c r="AX49" s="16">
        <f>SUM(Sweden_Played)</f>
        <v>0</v>
      </c>
      <c r="AY49" s="16">
        <f>SUM(Sweden_Against)</f>
        <v>0</v>
      </c>
      <c r="AZ49" s="16">
        <f>AX49-AY49</f>
        <v>0</v>
      </c>
      <c r="BA49" s="16">
        <f t="shared" si="15"/>
        <v>3</v>
      </c>
      <c r="BB49" s="16" t="str">
        <f>IF($BA49&lt;=$BA48,$AS49,$AS48)</f>
        <v>De Kabel</v>
      </c>
      <c r="BC49" s="16">
        <f>VLOOKUP($BB49,$AS46:$BA49,9,FALSE)</f>
        <v>3</v>
      </c>
      <c r="BD49" s="16" t="str">
        <f>IF(BC49&lt;=BC47,BB49,BB47)</f>
        <v>De Kabel</v>
      </c>
      <c r="BE49" s="16">
        <f>VLOOKUP($BD49,$AS46:$BA49,9,FALSE)</f>
        <v>3</v>
      </c>
      <c r="BF49" s="16" t="e">
        <f>IF($BE49&lt;=$BE46,$BD49,$BD46)</f>
        <v>#REF!</v>
      </c>
      <c r="BG49" s="16" t="e">
        <f>VLOOKUP($BF49,$AS46:$BA49,9,FALSE)</f>
        <v>#REF!</v>
      </c>
      <c r="BH49" s="16" t="e">
        <f>VLOOKUP($BF49,$AS46:$BA49,8,FALSE)</f>
        <v>#REF!</v>
      </c>
      <c r="BI49" s="16" t="e">
        <f>IF(AND($BG48=$BG49,$BH49&gt;$BH48),$BF48,$BF49)</f>
        <v>#REF!</v>
      </c>
      <c r="BJ49" s="16" t="e">
        <f>VLOOKUP($BI49,$AS46:$BA49,9,FALSE)</f>
        <v>#REF!</v>
      </c>
      <c r="BK49" s="16" t="e">
        <f>VLOOKUP($BI49,$AS46:$BA49,8,FALSE)</f>
        <v>#REF!</v>
      </c>
      <c r="BL49" s="16" t="e">
        <f>IF(AND($BJ47=$BJ49,$BK49&gt;$BK47),$BI47,$BI49)</f>
        <v>#REF!</v>
      </c>
      <c r="BM49" s="16" t="e">
        <f>VLOOKUP($BL49,$AS46:$BA49,9,FALSE)</f>
        <v>#REF!</v>
      </c>
      <c r="BN49" s="16" t="e">
        <f>VLOOKUP($BL49,$AS46:$BA49,8,FALSE)</f>
        <v>#REF!</v>
      </c>
      <c r="BO49" s="16" t="e">
        <f>IF(AND($BM46=$BM49,$BN49&gt;$BN46),$BL46,$BL49)</f>
        <v>#REF!</v>
      </c>
      <c r="BP49" s="16" t="e">
        <f>VLOOKUP($BO49,$AS46:$BA49,9,FALSE)</f>
        <v>#REF!</v>
      </c>
      <c r="BQ49" s="16" t="e">
        <f>VLOOKUP($BO49,$AS46:$BA49,8,FALSE)</f>
        <v>#REF!</v>
      </c>
      <c r="BR49" s="16" t="e">
        <f>VLOOKUP($BO49,$AS46:$BA49,6,FALSE)</f>
        <v>#REF!</v>
      </c>
      <c r="BS49" s="16" t="e">
        <f>IF(AND($BP48=$BP49,$BQ48=$BQ49,$BR49&gt;$BR48),$BO48,$BO49)</f>
        <v>#REF!</v>
      </c>
      <c r="BT49" s="16" t="e">
        <f>VLOOKUP($BS49,$AS46:$BA49,9,FALSE)</f>
        <v>#REF!</v>
      </c>
      <c r="BU49" s="16" t="e">
        <f>VLOOKUP($BS49,$AS46:$BA49,8,FALSE)</f>
        <v>#REF!</v>
      </c>
      <c r="BV49" s="16" t="e">
        <f>VLOOKUP($BS49,$AS46:$BA49,6,FALSE)</f>
        <v>#REF!</v>
      </c>
      <c r="BW49" s="16" t="e">
        <f>IF(AND($BT47=$BT49,$BU47=$BU49,$BV49&gt;$BV47),$BS47,$BS49)</f>
        <v>#REF!</v>
      </c>
      <c r="BX49" s="16" t="e">
        <f>VLOOKUP($BW49,$AS46:$BA49,9,FALSE)</f>
        <v>#REF!</v>
      </c>
      <c r="BY49" s="16" t="e">
        <f>VLOOKUP($BW49,$AS46:$BA49,8,FALSE)</f>
        <v>#REF!</v>
      </c>
      <c r="BZ49" s="16" t="e">
        <f>VLOOKUP($BW49,$AS46:$BA49,6,FALSE)</f>
        <v>#REF!</v>
      </c>
      <c r="CA49" s="16" t="e">
        <f>IF(AND($BX46=$BX49,$BY46=$BY49,$BZ49&gt;$BZ46),$BW46,$BW49)</f>
        <v>#REF!</v>
      </c>
      <c r="CB49" s="16" t="e">
        <f>VLOOKUP($CA49,$AS46:$BA49,9,FALSE)</f>
        <v>#REF!</v>
      </c>
      <c r="CC49" s="16" t="e">
        <f>VLOOKUP($CA49,$AS46:$BA49,8,FALSE)</f>
        <v>#REF!</v>
      </c>
      <c r="CD49" s="16" t="e">
        <f>VLOOKUP($CA49,$AS46:$BA49,6,FALSE)</f>
        <v>#REF!</v>
      </c>
      <c r="CH49" s="16" t="e">
        <f>CA49</f>
        <v>#REF!</v>
      </c>
      <c r="CI49" s="16" t="e">
        <f>VLOOKUP($CH49,$AS46:$BA49,2,FALSE)</f>
        <v>#REF!</v>
      </c>
      <c r="CJ49" s="16" t="e">
        <f>VLOOKUP($CH49,$AS46:$BA49,3,FALSE)</f>
        <v>#REF!</v>
      </c>
      <c r="CK49" s="16" t="e">
        <f>VLOOKUP($CH49,$AS46:$BA49,4,FALSE)</f>
        <v>#REF!</v>
      </c>
      <c r="CL49" s="16" t="e">
        <f>VLOOKUP($CH49,$AS46:$BA49,5,FALSE)</f>
        <v>#REF!</v>
      </c>
      <c r="CM49" s="16" t="e">
        <f>VLOOKUP($CH49,$AS46:$BA49,6,FALSE)</f>
        <v>#REF!</v>
      </c>
      <c r="CN49" s="16" t="e">
        <f>VLOOKUP($CH49,$AS46:$BA49,7,FALSE)</f>
        <v>#REF!</v>
      </c>
      <c r="CO49" s="16" t="e">
        <f>VLOOKUP($CH49,$AS46:$BA49,8,FALSE)</f>
        <v>#REF!</v>
      </c>
      <c r="CP49" s="16" t="e">
        <f>VLOOKUP($CH49,$AS46:$BA49,9,FALSE)</f>
        <v>#REF!</v>
      </c>
      <c r="CR49" s="21" t="e">
        <f>#REF!</f>
        <v>#REF!</v>
      </c>
    </row>
    <row r="50" spans="2:96" ht="12.95" customHeight="1" thickBot="1" x14ac:dyDescent="0.25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AH50" s="69" t="s">
        <v>176</v>
      </c>
      <c r="AI50" s="70" t="s">
        <v>175</v>
      </c>
      <c r="AJ50" s="70" t="e">
        <f>I15</f>
        <v>#REF!</v>
      </c>
      <c r="AK50" s="232" t="e">
        <f>K15</f>
        <v>#REF!</v>
      </c>
      <c r="AL50" s="73" t="s">
        <v>165</v>
      </c>
      <c r="AM50" s="50" t="s">
        <v>164</v>
      </c>
      <c r="AN50" s="44" t="s">
        <v>111</v>
      </c>
      <c r="AO50" s="45" t="e">
        <f t="shared" si="4"/>
        <v>#REF!</v>
      </c>
      <c r="AP50" s="45" t="e">
        <f t="shared" si="5"/>
        <v>#REF!</v>
      </c>
      <c r="AQ50" s="45"/>
      <c r="CR50" s="21" t="e">
        <f>#REF!</f>
        <v>#REF!</v>
      </c>
    </row>
    <row r="51" spans="2:96" ht="12.95" customHeight="1" thickBot="1" x14ac:dyDescent="0.25"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AH51" s="70" t="s">
        <v>167</v>
      </c>
      <c r="AI51" s="70" t="s">
        <v>166</v>
      </c>
      <c r="AJ51" s="70" t="e">
        <f>I16</f>
        <v>#REF!</v>
      </c>
      <c r="AK51" s="232" t="e">
        <f>K16</f>
        <v>#REF!</v>
      </c>
      <c r="AL51" s="73" t="s">
        <v>174</v>
      </c>
      <c r="AM51" s="51" t="s">
        <v>173</v>
      </c>
      <c r="AN51" s="44" t="s">
        <v>111</v>
      </c>
      <c r="AO51" s="45" t="e">
        <f t="shared" si="4"/>
        <v>#REF!</v>
      </c>
      <c r="AP51" s="45" t="e">
        <f t="shared" si="5"/>
        <v>#REF!</v>
      </c>
      <c r="AQ51" s="45"/>
      <c r="AS51" s="16" t="s">
        <v>208</v>
      </c>
      <c r="CR51" s="21" t="e">
        <f>#REF!</f>
        <v>#REF!</v>
      </c>
    </row>
    <row r="52" spans="2:96" ht="12.95" customHeight="1" thickBot="1" x14ac:dyDescent="0.25"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AH52" s="70" t="s">
        <v>184</v>
      </c>
      <c r="AI52" s="70" t="s">
        <v>183</v>
      </c>
      <c r="AJ52" s="70" t="e">
        <f>Z15</f>
        <v>#REF!</v>
      </c>
      <c r="AK52" s="232" t="e">
        <f>AB15</f>
        <v>#REF!</v>
      </c>
      <c r="AL52" s="73" t="s">
        <v>194</v>
      </c>
      <c r="AM52" s="51" t="s">
        <v>193</v>
      </c>
      <c r="AN52" s="44" t="s">
        <v>185</v>
      </c>
      <c r="AO52" s="45" t="e">
        <f t="shared" si="4"/>
        <v>#REF!</v>
      </c>
      <c r="AP52" s="45" t="e">
        <f t="shared" si="5"/>
        <v>#REF!</v>
      </c>
      <c r="AQ52" s="45"/>
      <c r="AT52" s="16" t="s">
        <v>124</v>
      </c>
      <c r="AU52" s="16" t="s">
        <v>110</v>
      </c>
      <c r="AV52" s="16" t="s">
        <v>125</v>
      </c>
      <c r="AW52" s="16" t="s">
        <v>126</v>
      </c>
      <c r="AX52" s="16" t="s">
        <v>127</v>
      </c>
      <c r="AY52" s="16" t="s">
        <v>123</v>
      </c>
      <c r="AZ52" s="16" t="s">
        <v>128</v>
      </c>
      <c r="BA52" s="16" t="s">
        <v>129</v>
      </c>
      <c r="CR52" s="21" t="e">
        <f>#REF!</f>
        <v>#REF!</v>
      </c>
    </row>
    <row r="53" spans="2:96" ht="12.95" customHeight="1" thickBot="1" x14ac:dyDescent="0.25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AH53" s="70" t="s">
        <v>196</v>
      </c>
      <c r="AI53" s="70" t="s">
        <v>195</v>
      </c>
      <c r="AJ53" s="70" t="e">
        <f>Z16</f>
        <v>#REF!</v>
      </c>
      <c r="AK53" s="232" t="e">
        <f>AB16</f>
        <v>#REF!</v>
      </c>
      <c r="AL53" s="73" t="s">
        <v>182</v>
      </c>
      <c r="AM53" s="51" t="s">
        <v>181</v>
      </c>
      <c r="AN53" s="44" t="s">
        <v>185</v>
      </c>
      <c r="AO53" s="45" t="e">
        <f t="shared" si="4"/>
        <v>#REF!</v>
      </c>
      <c r="AP53" s="45" t="e">
        <f t="shared" si="5"/>
        <v>#REF!</v>
      </c>
      <c r="AQ53" s="45"/>
      <c r="AS53" s="16" t="str">
        <f>EINDRONDE!V8</f>
        <v>5e Beste nrs. 3</v>
      </c>
      <c r="AT53" s="16">
        <f>COUNT(Italy_Played)</f>
        <v>0</v>
      </c>
      <c r="AU53" s="16">
        <f>COUNTIF(Groupstage_Winners,"Italy")</f>
        <v>0</v>
      </c>
      <c r="AV53" s="16">
        <f>COUNTIF(Groupstage_Losers,"Italy")</f>
        <v>0</v>
      </c>
      <c r="AW53" s="16">
        <f>AT53-(AU53+AV53)</f>
        <v>0</v>
      </c>
      <c r="AX53" s="16" t="e">
        <f>SUM(Italy_Played)</f>
        <v>#REF!</v>
      </c>
      <c r="AY53" s="16" t="e">
        <f>SUM(Italy_Against)</f>
        <v>#REF!</v>
      </c>
      <c r="AZ53" s="16" t="e">
        <f>AX53-AY53</f>
        <v>#REF!</v>
      </c>
      <c r="BA53" s="16">
        <f>SUM((AU53*3)+(AW53*1))</f>
        <v>0</v>
      </c>
      <c r="BB53" s="16" t="str">
        <f>IF($BA53&gt;=$BA54,$AS53,$AS54)</f>
        <v>5e Beste nrs. 3</v>
      </c>
      <c r="BC53" s="16">
        <f>VLOOKUP($BB53,$AS53:$BA56,9,FALSE)</f>
        <v>0</v>
      </c>
      <c r="BD53" s="16" t="str">
        <f>IF($BC53&gt;=$BC55,$BB53,$BB55)</f>
        <v>5e Beste nrs. 3</v>
      </c>
      <c r="BE53" s="16">
        <f>VLOOKUP($BD53,$AS53:$BA56,9,FALSE)</f>
        <v>0</v>
      </c>
      <c r="BF53" s="16" t="str">
        <f>IF($BE53&gt;=$BE56,$BD53,$BD56)</f>
        <v>5e Beste nrs. 3</v>
      </c>
      <c r="BG53" s="16">
        <f>VLOOKUP($BF53,$AS53:$BA56,9,FALSE)</f>
        <v>0</v>
      </c>
      <c r="BH53" s="16" t="e">
        <f>VLOOKUP($BF53,$AS53:$BA56,8,FALSE)</f>
        <v>#REF!</v>
      </c>
      <c r="BI53" s="16" t="e">
        <f>IF(AND($BG53=$BG54,$BH54&gt;$BH53),$BF54,$BF53)</f>
        <v>#REF!</v>
      </c>
      <c r="BJ53" s="16" t="e">
        <f>VLOOKUP($BI53,$AS53:$BA56,9,FALSE)</f>
        <v>#REF!</v>
      </c>
      <c r="BK53" s="16" t="e">
        <f>VLOOKUP($BI53,$AS53:$BA56,8,FALSE)</f>
        <v>#REF!</v>
      </c>
      <c r="BL53" s="16" t="e">
        <f>IF(AND($BJ53=$BJ55,$BK55&gt;$BK53),$BI55,$BI53)</f>
        <v>#REF!</v>
      </c>
      <c r="BM53" s="16" t="e">
        <f>VLOOKUP($BL53,$AS53:$BA56,9,FALSE)</f>
        <v>#REF!</v>
      </c>
      <c r="BN53" s="16" t="e">
        <f>VLOOKUP($BL53,$AS53:$BA56,8,FALSE)</f>
        <v>#REF!</v>
      </c>
      <c r="BO53" s="16" t="e">
        <f>IF(AND($BM53=$BM56,$BN56&gt;$BN53),$BL56,$BL53)</f>
        <v>#REF!</v>
      </c>
      <c r="BP53" s="16" t="e">
        <f>VLOOKUP($BO53,$AS53:$BA56,9,FALSE)</f>
        <v>#REF!</v>
      </c>
      <c r="BQ53" s="16" t="e">
        <f>VLOOKUP($BO53,$AS53:$BA56,8,FALSE)</f>
        <v>#REF!</v>
      </c>
      <c r="BR53" s="16" t="e">
        <f>VLOOKUP($BO53,$AS53:$BA56,6,FALSE)</f>
        <v>#REF!</v>
      </c>
      <c r="BS53" s="16" t="e">
        <f>IF(AND($BP53=$BP54,$BQ53=$BQ54,$BR54&gt;$BR53),$BO54,$BO53)</f>
        <v>#REF!</v>
      </c>
      <c r="BT53" s="16" t="e">
        <f>VLOOKUP($BS53,$AS53:$BA56,9,FALSE)</f>
        <v>#REF!</v>
      </c>
      <c r="BU53" s="16" t="e">
        <f>VLOOKUP($BS53,$AS53:$BA56,8,FALSE)</f>
        <v>#REF!</v>
      </c>
      <c r="BV53" s="16" t="e">
        <f>VLOOKUP($BS53,$AS53:$BA56,6,FALSE)</f>
        <v>#REF!</v>
      </c>
      <c r="BW53" s="16" t="e">
        <f>IF(AND($BT53=$BT55,$BU53=$BU55,$BV55&gt;$BV53),$BS55,$BS53)</f>
        <v>#REF!</v>
      </c>
      <c r="BX53" s="16" t="e">
        <f>VLOOKUP($BW53,$AS53:$BA56,9,FALSE)</f>
        <v>#REF!</v>
      </c>
      <c r="BY53" s="16" t="e">
        <f>VLOOKUP($BW53,$AS53:$BA56,8,FALSE)</f>
        <v>#REF!</v>
      </c>
      <c r="BZ53" s="16" t="e">
        <f>VLOOKUP($BW53,$AS53:$BA56,6,FALSE)</f>
        <v>#REF!</v>
      </c>
      <c r="CA53" s="16" t="e">
        <f>IF(AND($BX53=$BX56,$BY53=$BY56,$BZ56&gt;$BZ53),$BW56,$BW53)</f>
        <v>#REF!</v>
      </c>
      <c r="CB53" s="16" t="e">
        <f>VLOOKUP($CA53,$AS53:$BA56,9,FALSE)</f>
        <v>#REF!</v>
      </c>
      <c r="CC53" s="16" t="e">
        <f>VLOOKUP($CA53,$AS53:$BA56,8,FALSE)</f>
        <v>#REF!</v>
      </c>
      <c r="CD53" s="16" t="e">
        <f>VLOOKUP($CA53,$AS53:$BA56,6,FALSE)</f>
        <v>#REF!</v>
      </c>
      <c r="CH53" s="16" t="e">
        <f>CA53</f>
        <v>#REF!</v>
      </c>
      <c r="CI53" s="16" t="e">
        <f>VLOOKUP($CH53,$AS53:$BA56,2,FALSE)</f>
        <v>#REF!</v>
      </c>
      <c r="CJ53" s="16" t="e">
        <f>VLOOKUP($CH53,$AS53:$BA56,3,FALSE)</f>
        <v>#REF!</v>
      </c>
      <c r="CK53" s="16" t="e">
        <f>VLOOKUP($CH53,$AS53:$BA56,4,FALSE)</f>
        <v>#REF!</v>
      </c>
      <c r="CL53" s="16" t="e">
        <f>VLOOKUP($CH53,$AS53:$BA56,5,FALSE)</f>
        <v>#REF!</v>
      </c>
      <c r="CM53" s="16" t="e">
        <f>VLOOKUP($CH53,$AS53:$BA56,6,FALSE)</f>
        <v>#REF!</v>
      </c>
      <c r="CN53" s="16" t="e">
        <f>VLOOKUP($CH53,$AS53:$BA56,7,FALSE)</f>
        <v>#REF!</v>
      </c>
      <c r="CO53" s="16" t="e">
        <f>VLOOKUP($CH53,$AS53:$BA56,8,FALSE)</f>
        <v>#REF!</v>
      </c>
      <c r="CP53" s="16" t="e">
        <f>VLOOKUP($CH53,$AS53:$BA56,9,FALSE)</f>
        <v>#REF!</v>
      </c>
      <c r="CR53" s="21" t="e">
        <f>#REF!</f>
        <v>#REF!</v>
      </c>
    </row>
    <row r="54" spans="2:96" ht="12.95" customHeight="1" thickBot="1" x14ac:dyDescent="0.2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AH54" s="70" t="s">
        <v>190</v>
      </c>
      <c r="AI54" s="70" t="s">
        <v>189</v>
      </c>
      <c r="AJ54" s="70" t="e">
        <f>Z30</f>
        <v>#REF!</v>
      </c>
      <c r="AK54" s="232" t="e">
        <f>AB30</f>
        <v>#REF!</v>
      </c>
      <c r="AL54" s="73" t="s">
        <v>199</v>
      </c>
      <c r="AM54" s="51" t="s">
        <v>198</v>
      </c>
      <c r="AN54" s="44" t="s">
        <v>126</v>
      </c>
      <c r="AO54" s="45" t="e">
        <f t="shared" si="4"/>
        <v>#REF!</v>
      </c>
      <c r="AP54" s="45" t="e">
        <f t="shared" si="5"/>
        <v>#REF!</v>
      </c>
      <c r="AQ54" s="45"/>
      <c r="AS54" s="16" t="str">
        <f>EINDRONDE!V9</f>
        <v>4e Poule A</v>
      </c>
      <c r="AT54" s="16">
        <f>COUNT(Ecuador_Played)</f>
        <v>0</v>
      </c>
      <c r="AU54" s="16">
        <f>COUNTIF(Groupstage_Winners,"Ecuador")</f>
        <v>0</v>
      </c>
      <c r="AV54" s="16">
        <f>COUNTIF(Groupstage_Losers,"Ecuador")</f>
        <v>0</v>
      </c>
      <c r="AW54" s="16">
        <f>AT54-(AU54+AV54)</f>
        <v>0</v>
      </c>
      <c r="AX54" s="16" t="e">
        <f>SUM(Ecuador_Played)</f>
        <v>#REF!</v>
      </c>
      <c r="AY54" s="16" t="e">
        <f>SUM(Ecuador_Against)</f>
        <v>#REF!</v>
      </c>
      <c r="AZ54" s="16" t="e">
        <f>AX54-AY54</f>
        <v>#REF!</v>
      </c>
      <c r="BA54" s="16">
        <f t="shared" ref="BA54:BA56" si="16">SUM((AU54*3)+(AW54*1))</f>
        <v>0</v>
      </c>
      <c r="BB54" s="16" t="str">
        <f>IF($BA54&lt;=$BA53,$AS54,$AS53)</f>
        <v>4e Poule A</v>
      </c>
      <c r="BC54" s="16">
        <f>VLOOKUP($BB54,$AS53:$BA56,9,FALSE)</f>
        <v>0</v>
      </c>
      <c r="BD54" s="16" t="str">
        <f>IF(BC54&gt;=BC56,BB54,BB56)</f>
        <v>4e Poule A</v>
      </c>
      <c r="BE54" s="16">
        <f>VLOOKUP($BD54,$AS53:$BA56,9,FALSE)</f>
        <v>0</v>
      </c>
      <c r="BF54" s="16" t="str">
        <f>IF($BE54&gt;=$BE55,$BD54,$BD55)</f>
        <v>4e Poule A</v>
      </c>
      <c r="BG54" s="16">
        <f>VLOOKUP($BF54,$AS53:$BA56,9,FALSE)</f>
        <v>0</v>
      </c>
      <c r="BH54" s="16" t="e">
        <f>VLOOKUP($BF54,$AS53:$BA56,8,FALSE)</f>
        <v>#REF!</v>
      </c>
      <c r="BI54" s="16" t="e">
        <f>IF(AND($BG53=$BG54,$BH54&gt;$BH53),$BF53,$BF54)</f>
        <v>#REF!</v>
      </c>
      <c r="BJ54" s="16" t="e">
        <f>VLOOKUP($BI54,$AS53:$BA56,9,FALSE)</f>
        <v>#REF!</v>
      </c>
      <c r="BK54" s="16" t="e">
        <f>VLOOKUP($BI54,$AS53:$BA56,8,FALSE)</f>
        <v>#REF!</v>
      </c>
      <c r="BL54" s="16" t="e">
        <f>IF(AND($BJ54=$BJ56,$BK56&gt;$BK54),$BI56,$BI54)</f>
        <v>#REF!</v>
      </c>
      <c r="BM54" s="16" t="e">
        <f>VLOOKUP($BL54,$AS53:$BA56,9,FALSE)</f>
        <v>#REF!</v>
      </c>
      <c r="BN54" s="16" t="e">
        <f>VLOOKUP($BL54,$AS53:$BA56,8,FALSE)</f>
        <v>#REF!</v>
      </c>
      <c r="BO54" s="16" t="e">
        <f>IF(AND($BM54=$BM55,$BN55&gt;$BN54),$BL55,$BL54)</f>
        <v>#REF!</v>
      </c>
      <c r="BP54" s="16" t="e">
        <f>VLOOKUP($BO54,$AS53:$BA56,9,FALSE)</f>
        <v>#REF!</v>
      </c>
      <c r="BQ54" s="16" t="e">
        <f>VLOOKUP($BO54,$AS53:$BA56,8,FALSE)</f>
        <v>#REF!</v>
      </c>
      <c r="BR54" s="16" t="e">
        <f>VLOOKUP($BO54,$AS53:$BA56,6,FALSE)</f>
        <v>#REF!</v>
      </c>
      <c r="BS54" s="16" t="e">
        <f>IF(AND($BP53=$BP54,$BQ53=$BQ54,$BR54&gt;$BR53),$BO53,$BO54)</f>
        <v>#REF!</v>
      </c>
      <c r="BT54" s="16" t="e">
        <f>VLOOKUP($BS54,$AS53:$BA56,9,FALSE)</f>
        <v>#REF!</v>
      </c>
      <c r="BU54" s="16" t="e">
        <f>VLOOKUP($BS54,$AS53:$BA56,8,FALSE)</f>
        <v>#REF!</v>
      </c>
      <c r="BV54" s="16" t="e">
        <f>VLOOKUP($BS54,$AS53:$BA56,6,FALSE)</f>
        <v>#REF!</v>
      </c>
      <c r="BW54" s="16" t="e">
        <f>IF(AND($BT54=$BT56,$BU54=$BU56,$BV56&gt;$BV54),$BS56,$BS54)</f>
        <v>#REF!</v>
      </c>
      <c r="BX54" s="16" t="e">
        <f>VLOOKUP($BW54,$AS53:$BA56,9,FALSE)</f>
        <v>#REF!</v>
      </c>
      <c r="BY54" s="16" t="e">
        <f>VLOOKUP($BW54,$AS53:$BA56,8,FALSE)</f>
        <v>#REF!</v>
      </c>
      <c r="BZ54" s="16" t="e">
        <f>VLOOKUP($BW54,$AS53:$BA56,6,FALSE)</f>
        <v>#REF!</v>
      </c>
      <c r="CA54" s="16" t="e">
        <f>IF(AND($BX54=$BX55,$BY54=$BY55,$BZ55&gt;$BZ54),$BW55,$BW54)</f>
        <v>#REF!</v>
      </c>
      <c r="CB54" s="16" t="e">
        <f>VLOOKUP($CA54,$AS53:$BA56,9,FALSE)</f>
        <v>#REF!</v>
      </c>
      <c r="CC54" s="16" t="e">
        <f>VLOOKUP($CA54,$AS53:$BA56,8,FALSE)</f>
        <v>#REF!</v>
      </c>
      <c r="CD54" s="16" t="e">
        <f>VLOOKUP($CA54,$AS53:$BA56,6,FALSE)</f>
        <v>#REF!</v>
      </c>
      <c r="CH54" s="16" t="e">
        <f>CA54</f>
        <v>#REF!</v>
      </c>
      <c r="CI54" s="16" t="e">
        <f>VLOOKUP($CH54,$AS53:$BA56,2,FALSE)</f>
        <v>#REF!</v>
      </c>
      <c r="CJ54" s="16" t="e">
        <f>VLOOKUP($CH54,$AS53:$BA56,3,FALSE)</f>
        <v>#REF!</v>
      </c>
      <c r="CK54" s="16" t="e">
        <f>VLOOKUP($CH54,$AS53:$BA56,4,FALSE)</f>
        <v>#REF!</v>
      </c>
      <c r="CL54" s="16" t="e">
        <f>VLOOKUP($CH54,$AS53:$BA56,5,FALSE)</f>
        <v>#REF!</v>
      </c>
      <c r="CM54" s="16" t="e">
        <f>VLOOKUP($CH54,$AS53:$BA56,6,FALSE)</f>
        <v>#REF!</v>
      </c>
      <c r="CN54" s="16" t="e">
        <f>VLOOKUP($CH54,$AS53:$BA56,7,FALSE)</f>
        <v>#REF!</v>
      </c>
      <c r="CO54" s="16" t="e">
        <f>VLOOKUP($CH54,$AS53:$BA56,8,FALSE)</f>
        <v>#REF!</v>
      </c>
      <c r="CP54" s="16" t="e">
        <f>VLOOKUP($CH54,$AS53:$BA56,9,FALSE)</f>
        <v>#REF!</v>
      </c>
      <c r="CR54" s="21" t="e">
        <f>#REF!</f>
        <v>#REF!</v>
      </c>
    </row>
    <row r="55" spans="2:96" ht="7.5" customHeight="1" thickBot="1" x14ac:dyDescent="0.25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AH55" s="69" t="s">
        <v>201</v>
      </c>
      <c r="AI55" s="70" t="s">
        <v>200</v>
      </c>
      <c r="AJ55" s="70" t="e">
        <f>Z31</f>
        <v>#REF!</v>
      </c>
      <c r="AK55" s="232" t="e">
        <f>AB31</f>
        <v>#REF!</v>
      </c>
      <c r="AL55" s="73" t="s">
        <v>188</v>
      </c>
      <c r="AM55" s="50" t="s">
        <v>187</v>
      </c>
      <c r="AN55" s="44" t="s">
        <v>126</v>
      </c>
      <c r="AO55" s="45" t="e">
        <f t="shared" si="4"/>
        <v>#REF!</v>
      </c>
      <c r="AP55" s="45" t="e">
        <f t="shared" si="5"/>
        <v>#REF!</v>
      </c>
      <c r="AQ55" s="45"/>
      <c r="AS55" s="16" t="str">
        <f>EINDRONDE!V10</f>
        <v>4e Poule B</v>
      </c>
      <c r="AT55" s="16">
        <f>COUNT(Croatia_Played)</f>
        <v>0</v>
      </c>
      <c r="AU55" s="16">
        <f>COUNTIF(Groupstage_Winners,"Croatia")</f>
        <v>0</v>
      </c>
      <c r="AV55" s="16">
        <f>COUNTIF(Groupstage_Losers,"Croatia")</f>
        <v>0</v>
      </c>
      <c r="AW55" s="16">
        <f>AT55-(AU55+AV55)</f>
        <v>0</v>
      </c>
      <c r="AX55" s="16" t="e">
        <f>SUM(Croatia_Played)</f>
        <v>#REF!</v>
      </c>
      <c r="AY55" s="16" t="e">
        <f>SUM(Croatia_Against)</f>
        <v>#REF!</v>
      </c>
      <c r="AZ55" s="16" t="e">
        <f>AX55-AY55</f>
        <v>#REF!</v>
      </c>
      <c r="BA55" s="16">
        <f t="shared" si="16"/>
        <v>0</v>
      </c>
      <c r="BB55" s="16" t="str">
        <f>IF($BA55&gt;=$BA56,$AS55,$AS56)</f>
        <v>4e Poule B</v>
      </c>
      <c r="BC55" s="16">
        <f>VLOOKUP($BB55,$AS53:$BA56,9,FALSE)</f>
        <v>0</v>
      </c>
      <c r="BD55" s="16" t="str">
        <f>IF($BC55&lt;=$BC53,$BB55,$BB53)</f>
        <v>4e Poule B</v>
      </c>
      <c r="BE55" s="16">
        <f>VLOOKUP($BD55,$AS53:$BA56,9,FALSE)</f>
        <v>0</v>
      </c>
      <c r="BF55" s="16" t="str">
        <f>IF($BE55&lt;=$BE54,$BD55,$BD54)</f>
        <v>4e Poule B</v>
      </c>
      <c r="BG55" s="16">
        <f>VLOOKUP($BF55,$AS53:$BA56,9,FALSE)</f>
        <v>0</v>
      </c>
      <c r="BH55" s="16" t="e">
        <f>VLOOKUP($BF55,$AS53:$BA56,8,FALSE)</f>
        <v>#REF!</v>
      </c>
      <c r="BI55" s="16" t="e">
        <f>IF(AND($BG55=$BG56,$BH56&gt;$BH55),$BF56,$BF55)</f>
        <v>#REF!</v>
      </c>
      <c r="BJ55" s="16" t="e">
        <f>VLOOKUP($BI55,$AS53:$BA56,9,FALSE)</f>
        <v>#REF!</v>
      </c>
      <c r="BK55" s="16" t="e">
        <f>VLOOKUP($BI55,$AS53:$BA56,8,FALSE)</f>
        <v>#REF!</v>
      </c>
      <c r="BL55" s="16" t="e">
        <f>IF(AND($BJ53=$BJ55,$BK55&gt;$BK53),$BI53,$BI55)</f>
        <v>#REF!</v>
      </c>
      <c r="BM55" s="16" t="e">
        <f>VLOOKUP($BL55,$AS53:$BA56,9,FALSE)</f>
        <v>#REF!</v>
      </c>
      <c r="BN55" s="16" t="e">
        <f>VLOOKUP($BL55,$AS53:$BA56,8,FALSE)</f>
        <v>#REF!</v>
      </c>
      <c r="BO55" s="16" t="e">
        <f>IF(AND($BM54=$BM55,$BN55&gt;$BN54),$BL54,$BL55)</f>
        <v>#REF!</v>
      </c>
      <c r="BP55" s="16" t="e">
        <f>VLOOKUP($BO55,$AS53:$BA56,9,FALSE)</f>
        <v>#REF!</v>
      </c>
      <c r="BQ55" s="16" t="e">
        <f>VLOOKUP($BO55,$AS53:$BA56,8,FALSE)</f>
        <v>#REF!</v>
      </c>
      <c r="BR55" s="16" t="e">
        <f>VLOOKUP($BO55,$AS53:$BA56,6,FALSE)</f>
        <v>#REF!</v>
      </c>
      <c r="BS55" s="16" t="e">
        <f>IF(AND($BP55=$BP56,$BQ55=$BQ56,$BR56&gt;$BR55),$BO56,$BO55)</f>
        <v>#REF!</v>
      </c>
      <c r="BT55" s="16" t="e">
        <f>VLOOKUP($BS55,$AS53:$BA56,9,FALSE)</f>
        <v>#REF!</v>
      </c>
      <c r="BU55" s="16" t="e">
        <f>VLOOKUP($BS55,$AS53:$BA56,8,FALSE)</f>
        <v>#REF!</v>
      </c>
      <c r="BV55" s="16" t="e">
        <f>VLOOKUP($BS55,$AS53:$BA56,6,FALSE)</f>
        <v>#REF!</v>
      </c>
      <c r="BW55" s="16" t="e">
        <f>IF(AND($BT53=$BT55,$BU53=$BU55,$BV54&gt;$BV53),$BS53,$BS55)</f>
        <v>#REF!</v>
      </c>
      <c r="BX55" s="16" t="e">
        <f>VLOOKUP($BW55,$AS53:$BA56,9,FALSE)</f>
        <v>#REF!</v>
      </c>
      <c r="BY55" s="16" t="e">
        <f>VLOOKUP($BW55,$AS53:$BA56,8,FALSE)</f>
        <v>#REF!</v>
      </c>
      <c r="BZ55" s="16" t="e">
        <f>VLOOKUP($BW55,$AS53:$BA56,6,FALSE)</f>
        <v>#REF!</v>
      </c>
      <c r="CA55" s="16" t="e">
        <f>IF(AND($BX54=$BX55,$BY54=$BY55,$BZ55&gt;$BZ54),$BW54,$BW55)</f>
        <v>#REF!</v>
      </c>
      <c r="CB55" s="16" t="e">
        <f>VLOOKUP($CA55,$AS53:$BA56,9,FALSE)</f>
        <v>#REF!</v>
      </c>
      <c r="CC55" s="16" t="e">
        <f>VLOOKUP($CA55,$AS53:$BA56,8,FALSE)</f>
        <v>#REF!</v>
      </c>
      <c r="CD55" s="16" t="e">
        <f>VLOOKUP($CA55,$AS53:$BA56,6,FALSE)</f>
        <v>#REF!</v>
      </c>
      <c r="CH55" s="16" t="e">
        <f>CA55</f>
        <v>#REF!</v>
      </c>
      <c r="CI55" s="16" t="e">
        <f>VLOOKUP($CH55,$AS53:$BA56,2,FALSE)</f>
        <v>#REF!</v>
      </c>
      <c r="CJ55" s="16" t="e">
        <f>VLOOKUP($CH55,$AS53:$BA56,3,FALSE)</f>
        <v>#REF!</v>
      </c>
      <c r="CK55" s="16" t="e">
        <f>VLOOKUP($CH55,$AS53:$BA56,4,FALSE)</f>
        <v>#REF!</v>
      </c>
      <c r="CL55" s="16" t="e">
        <f>VLOOKUP($CH55,$AS53:$BA56,5,FALSE)</f>
        <v>#REF!</v>
      </c>
      <c r="CM55" s="16" t="e">
        <f>VLOOKUP($CH55,$AS53:$BA56,6,FALSE)</f>
        <v>#REF!</v>
      </c>
      <c r="CN55" s="16" t="e">
        <f>VLOOKUP($CH55,$AS53:$BA56,7,FALSE)</f>
        <v>#REF!</v>
      </c>
      <c r="CO55" s="16" t="e">
        <f>VLOOKUP($CH55,$AS53:$BA56,8,FALSE)</f>
        <v>#REF!</v>
      </c>
      <c r="CP55" s="16" t="e">
        <f>VLOOKUP($CH55,$AS53:$BA56,9,FALSE)</f>
        <v>#REF!</v>
      </c>
      <c r="CR55" s="21" t="e">
        <f>#REF!</f>
        <v>#REF!</v>
      </c>
    </row>
    <row r="56" spans="2:96" ht="9.75" customHeight="1" x14ac:dyDescent="0.2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AI56" s="77"/>
      <c r="AJ56" s="63"/>
      <c r="AK56" s="78"/>
      <c r="AL56" s="78"/>
      <c r="AM56" s="47"/>
      <c r="AN56" s="45"/>
      <c r="AO56" s="45"/>
      <c r="AP56" s="45"/>
      <c r="AQ56" s="45"/>
      <c r="AS56" s="16" t="str">
        <f>EINDRONDE!V11</f>
        <v>4e Poule C</v>
      </c>
      <c r="AT56" s="16">
        <f>COUNT(Mexico_Played)</f>
        <v>0</v>
      </c>
      <c r="AU56" s="16">
        <f>COUNTIF(Groupstage_Winners,"Mexico")</f>
        <v>0</v>
      </c>
      <c r="AV56" s="16">
        <f>COUNTIF(Groupstage_Losers,"Mexico")</f>
        <v>0</v>
      </c>
      <c r="AW56" s="16">
        <f>AT56-(AU56+AV56)</f>
        <v>0</v>
      </c>
      <c r="AX56" s="16" t="e">
        <f>SUM(Mexico_Played)</f>
        <v>#REF!</v>
      </c>
      <c r="AY56" s="16" t="e">
        <f>SUM(Mexico_Against)</f>
        <v>#REF!</v>
      </c>
      <c r="AZ56" s="16" t="e">
        <f>AX56-AY56</f>
        <v>#REF!</v>
      </c>
      <c r="BA56" s="16">
        <f t="shared" si="16"/>
        <v>0</v>
      </c>
      <c r="BB56" s="16" t="str">
        <f>IF($BA56&lt;=$BA55,$AS56,$AS55)</f>
        <v>4e Poule C</v>
      </c>
      <c r="BC56" s="16">
        <f>VLOOKUP($BB56,$AS53:$BA56,9,FALSE)</f>
        <v>0</v>
      </c>
      <c r="BD56" s="16" t="str">
        <f>IF(BC56&lt;=BC54,BB56,BB54)</f>
        <v>4e Poule C</v>
      </c>
      <c r="BE56" s="16">
        <f>VLOOKUP($BD56,$AS53:$BA56,9,FALSE)</f>
        <v>0</v>
      </c>
      <c r="BF56" s="16" t="str">
        <f>IF($BE56&lt;=$BE53,$BD56,$BD53)</f>
        <v>4e Poule C</v>
      </c>
      <c r="BG56" s="16">
        <f>VLOOKUP($BF56,$AS53:$BA56,9,FALSE)</f>
        <v>0</v>
      </c>
      <c r="BH56" s="16" t="e">
        <f>VLOOKUP($BF56,$AS53:$BA56,8,FALSE)</f>
        <v>#REF!</v>
      </c>
      <c r="BI56" s="16" t="e">
        <f>IF(AND($BG55=$BG56,$BH56&gt;$BH55),$BF55,$BF56)</f>
        <v>#REF!</v>
      </c>
      <c r="BJ56" s="16" t="e">
        <f>VLOOKUP($BI56,$AS53:$BA56,9,FALSE)</f>
        <v>#REF!</v>
      </c>
      <c r="BK56" s="16" t="e">
        <f>VLOOKUP($BI56,$AS53:$BA56,8,FALSE)</f>
        <v>#REF!</v>
      </c>
      <c r="BL56" s="16" t="e">
        <f>IF(AND($BJ54=$BJ56,$BK56&gt;$BK54),$BI54,$BI56)</f>
        <v>#REF!</v>
      </c>
      <c r="BM56" s="16" t="e">
        <f>VLOOKUP($BL56,$AS53:$BA56,9,FALSE)</f>
        <v>#REF!</v>
      </c>
      <c r="BN56" s="16" t="e">
        <f>VLOOKUP($BL56,$AS53:$BA56,8,FALSE)</f>
        <v>#REF!</v>
      </c>
      <c r="BO56" s="16" t="e">
        <f>IF(AND($BM53=$BM56,$BN56&gt;$BN53),$BL53,$BL56)</f>
        <v>#REF!</v>
      </c>
      <c r="BP56" s="16" t="e">
        <f>VLOOKUP($BO56,$AS53:$BA56,9,FALSE)</f>
        <v>#REF!</v>
      </c>
      <c r="BQ56" s="16" t="e">
        <f>VLOOKUP($BO56,$AS53:$BA56,8,FALSE)</f>
        <v>#REF!</v>
      </c>
      <c r="BR56" s="16" t="e">
        <f>VLOOKUP($BO56,$AS53:$BA56,6,FALSE)</f>
        <v>#REF!</v>
      </c>
      <c r="BS56" s="16" t="e">
        <f>IF(AND($BP55=$BP56,$BQ55=$BQ56,$BR56&gt;$BR55),$BO55,$BO56)</f>
        <v>#REF!</v>
      </c>
      <c r="BT56" s="16" t="e">
        <f>VLOOKUP($BS56,$AS53:$BA56,9,FALSE)</f>
        <v>#REF!</v>
      </c>
      <c r="BU56" s="16" t="e">
        <f>VLOOKUP($BS56,$AS53:$BA56,8,FALSE)</f>
        <v>#REF!</v>
      </c>
      <c r="BV56" s="16" t="e">
        <f>VLOOKUP($BS56,$AS53:$BA56,6,FALSE)</f>
        <v>#REF!</v>
      </c>
      <c r="BW56" s="16" t="e">
        <f>IF(AND($BT54=$BT56,$BU54=$BU56,$BV56&gt;$BV54),$BS54,$BS56)</f>
        <v>#REF!</v>
      </c>
      <c r="BX56" s="16" t="e">
        <f>VLOOKUP($BW56,$AS53:$BA56,9,FALSE)</f>
        <v>#REF!</v>
      </c>
      <c r="BY56" s="16" t="e">
        <f>VLOOKUP($BW56,$AS53:$BA56,8,FALSE)</f>
        <v>#REF!</v>
      </c>
      <c r="BZ56" s="16" t="e">
        <f>VLOOKUP($BW56,$AS53:$BA56,6,FALSE)</f>
        <v>#REF!</v>
      </c>
      <c r="CA56" s="16" t="e">
        <f>IF(AND($BX53=$BX56,$BY53=$BY56,$BZ56&gt;$BZ53),$BW53,$BW56)</f>
        <v>#REF!</v>
      </c>
      <c r="CB56" s="16" t="e">
        <f>VLOOKUP($CA56,$AS53:$BA56,9,FALSE)</f>
        <v>#REF!</v>
      </c>
      <c r="CC56" s="16" t="e">
        <f>VLOOKUP($CA56,$AS53:$BA56,8,FALSE)</f>
        <v>#REF!</v>
      </c>
      <c r="CD56" s="16" t="e">
        <f>VLOOKUP($CA56,$AS53:$BA56,6,FALSE)</f>
        <v>#REF!</v>
      </c>
      <c r="CH56" s="16" t="e">
        <f>CA56</f>
        <v>#REF!</v>
      </c>
      <c r="CI56" s="16" t="e">
        <f>VLOOKUP($CH56,$AS53:$BA56,2,FALSE)</f>
        <v>#REF!</v>
      </c>
      <c r="CJ56" s="16" t="e">
        <f>VLOOKUP($CH56,$AS53:$BA56,3,FALSE)</f>
        <v>#REF!</v>
      </c>
      <c r="CK56" s="16" t="e">
        <f>VLOOKUP($CH56,$AS53:$BA56,4,FALSE)</f>
        <v>#REF!</v>
      </c>
      <c r="CL56" s="16" t="e">
        <f>VLOOKUP($CH56,$AS53:$BA56,5,FALSE)</f>
        <v>#REF!</v>
      </c>
      <c r="CM56" s="16" t="e">
        <f>VLOOKUP($CH56,$AS53:$BA56,6,FALSE)</f>
        <v>#REF!</v>
      </c>
      <c r="CN56" s="16" t="e">
        <f>VLOOKUP($CH56,$AS53:$BA56,7,FALSE)</f>
        <v>#REF!</v>
      </c>
      <c r="CO56" s="16" t="e">
        <f>VLOOKUP($CH56,$AS53:$BA56,8,FALSE)</f>
        <v>#REF!</v>
      </c>
      <c r="CP56" s="16" t="e">
        <f>VLOOKUP($CH56,$AS53:$BA56,9,FALSE)</f>
        <v>#REF!</v>
      </c>
      <c r="CR56" s="21"/>
    </row>
    <row r="57" spans="2:96" ht="12.95" customHeight="1" x14ac:dyDescent="0.2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AI57" s="77"/>
      <c r="AJ57" s="63"/>
      <c r="AK57" s="78"/>
      <c r="AL57" s="78"/>
      <c r="AM57" s="47"/>
      <c r="AN57" s="45"/>
      <c r="AO57" s="45"/>
      <c r="AP57" s="45"/>
      <c r="AQ57" s="45"/>
      <c r="CR57" s="21"/>
    </row>
    <row r="58" spans="2:96" ht="12.95" customHeight="1" x14ac:dyDescent="0.2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AI58" s="79"/>
      <c r="AJ58" s="80"/>
      <c r="AK58" s="79"/>
      <c r="AL58" s="79"/>
      <c r="AM58" s="47"/>
      <c r="AN58" s="42"/>
      <c r="AO58" s="41"/>
      <c r="AP58" s="41"/>
      <c r="AS58" s="16" t="s">
        <v>209</v>
      </c>
      <c r="CR58" s="21"/>
    </row>
    <row r="59" spans="2:96" ht="12.95" customHeight="1" x14ac:dyDescent="0.2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AI59" s="81"/>
      <c r="AJ59" s="80"/>
      <c r="AK59" s="81"/>
      <c r="AL59" s="81"/>
      <c r="AM59" s="47"/>
      <c r="AN59" s="43"/>
      <c r="AO59" s="41"/>
      <c r="AP59" s="41"/>
      <c r="AT59" s="16" t="s">
        <v>124</v>
      </c>
      <c r="AU59" s="16" t="s">
        <v>110</v>
      </c>
      <c r="AV59" s="16" t="s">
        <v>125</v>
      </c>
      <c r="AW59" s="16" t="s">
        <v>126</v>
      </c>
      <c r="AX59" s="16" t="s">
        <v>127</v>
      </c>
      <c r="AY59" s="16" t="s">
        <v>123</v>
      </c>
      <c r="AZ59" s="16" t="s">
        <v>128</v>
      </c>
      <c r="BA59" s="16" t="s">
        <v>129</v>
      </c>
      <c r="CR59" s="21"/>
    </row>
    <row r="60" spans="2:96" ht="12.95" customHeight="1" thickBot="1" x14ac:dyDescent="0.25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AI60" s="239"/>
      <c r="AJ60" s="240"/>
      <c r="AK60" s="82"/>
      <c r="AL60" s="82"/>
      <c r="AM60" s="47"/>
      <c r="AN60" s="41"/>
      <c r="AO60" s="41"/>
      <c r="AP60" s="41"/>
      <c r="AS60" s="16" t="str">
        <f>EINDRONDE!AB8</f>
        <v>8e Beste nrs. 3</v>
      </c>
      <c r="AT60" s="16">
        <f>COUNT(Japan_Played)</f>
        <v>1</v>
      </c>
      <c r="AU60" s="16">
        <f>COUNTIF(Groupstage_Winners,"Japan")</f>
        <v>0</v>
      </c>
      <c r="AV60" s="16">
        <f>COUNTIF(Groupstage_Losers,"Japan")</f>
        <v>1</v>
      </c>
      <c r="AW60" s="16">
        <f>AT60-(AU60+AV60)</f>
        <v>0</v>
      </c>
      <c r="AX60" s="16" t="e">
        <f>SUM(Japan_Played)</f>
        <v>#REF!</v>
      </c>
      <c r="AY60" s="16" t="e">
        <f>SUM(Japan_Against)</f>
        <v>#REF!</v>
      </c>
      <c r="AZ60" s="16" t="e">
        <f>AX60-AY60</f>
        <v>#REF!</v>
      </c>
      <c r="BA60" s="16">
        <f>SUM((AU60*3)+(AW60*1))</f>
        <v>0</v>
      </c>
      <c r="BB60" s="16" t="str">
        <f>IF($BA60&gt;=$BA61,$AS60,$AS61)</f>
        <v>9e Beste nrs. 3</v>
      </c>
      <c r="BC60" s="16">
        <f>VLOOKUP($BB60,$AS60:$BA63,9,FALSE)</f>
        <v>3</v>
      </c>
      <c r="BD60" s="16" t="str">
        <f>IF($BC60&gt;=$BC62,$BB60,$BB62)</f>
        <v>9e Beste nrs. 3</v>
      </c>
      <c r="BE60" s="16">
        <f>VLOOKUP($BD60,$AS60:$BA63,9,FALSE)</f>
        <v>3</v>
      </c>
      <c r="BF60" s="16" t="str">
        <f>IF($BE60&gt;=$BE63,$BD60,$BD63)</f>
        <v>9e Beste nrs. 3</v>
      </c>
      <c r="BG60" s="16">
        <f>VLOOKUP($BF60,$AS60:$BA63,9,FALSE)</f>
        <v>3</v>
      </c>
      <c r="BH60" s="16" t="e">
        <f>VLOOKUP($BF60,$AS60:$BA63,8,FALSE)</f>
        <v>#REF!</v>
      </c>
      <c r="BI60" s="16" t="e">
        <f>IF(AND($BG60=$BG61,$BH61&gt;$BH60),$BF61,$BF60)</f>
        <v>#REF!</v>
      </c>
      <c r="BJ60" s="16" t="e">
        <f>VLOOKUP($BI60,$AS60:$BA63,9,FALSE)</f>
        <v>#REF!</v>
      </c>
      <c r="BK60" s="16" t="e">
        <f>VLOOKUP($BI60,$AS60:$BA63,8,FALSE)</f>
        <v>#REF!</v>
      </c>
      <c r="BL60" s="16" t="e">
        <f>IF(AND($BJ60=$BJ62,$BK62&gt;$BK60),$BI62,$BI60)</f>
        <v>#REF!</v>
      </c>
      <c r="BM60" s="16" t="e">
        <f>VLOOKUP($BL60,$AS60:$BA63,9,FALSE)</f>
        <v>#REF!</v>
      </c>
      <c r="BN60" s="16" t="e">
        <f>VLOOKUP($BL60,$AS60:$BA63,8,FALSE)</f>
        <v>#REF!</v>
      </c>
      <c r="BO60" s="16" t="e">
        <f>IF(AND($BM60=$BM63,$BN63&gt;$BN60),$BL63,$BL60)</f>
        <v>#REF!</v>
      </c>
      <c r="BP60" s="16" t="e">
        <f>VLOOKUP($BO60,$AS60:$BA63,9,FALSE)</f>
        <v>#REF!</v>
      </c>
      <c r="BQ60" s="16" t="e">
        <f>VLOOKUP($BO60,$AS60:$BA63,8,FALSE)</f>
        <v>#REF!</v>
      </c>
      <c r="BR60" s="16" t="e">
        <f>VLOOKUP($BO60,$AS60:$BA63,6,FALSE)</f>
        <v>#REF!</v>
      </c>
      <c r="BS60" s="16" t="e">
        <f>IF(AND($BP60=$BP61,$BQ60=$BQ61,$BR61&gt;$BR60),$BO61,$BO60)</f>
        <v>#REF!</v>
      </c>
      <c r="BT60" s="16" t="e">
        <f>VLOOKUP($BS60,$AS60:$BA63,9,FALSE)</f>
        <v>#REF!</v>
      </c>
      <c r="BU60" s="16" t="e">
        <f>VLOOKUP($BS60,$AS60:$BA63,8,FALSE)</f>
        <v>#REF!</v>
      </c>
      <c r="BV60" s="16" t="e">
        <f>VLOOKUP($BS60,$AS60:$BA63,6,FALSE)</f>
        <v>#REF!</v>
      </c>
      <c r="BW60" s="16" t="e">
        <f>IF(AND($BT60=$BT62,$BU60=$BU62,$BV62&gt;$BV60),$BS62,$BS60)</f>
        <v>#REF!</v>
      </c>
      <c r="BX60" s="16" t="e">
        <f>VLOOKUP($BW60,$AS60:$BA63,9,FALSE)</f>
        <v>#REF!</v>
      </c>
      <c r="BY60" s="16" t="e">
        <f>VLOOKUP($BW60,$AS60:$BA63,8,FALSE)</f>
        <v>#REF!</v>
      </c>
      <c r="BZ60" s="16" t="e">
        <f>VLOOKUP($BW60,$AS60:$BA63,6,FALSE)</f>
        <v>#REF!</v>
      </c>
      <c r="CA60" s="16" t="e">
        <f>IF(AND($BX60=$BX63,$BY60=$BY63,$BZ63&gt;$BZ60),$BW63,$BW60)</f>
        <v>#REF!</v>
      </c>
      <c r="CB60" s="16" t="e">
        <f>VLOOKUP($CA60,$AS60:$BA63,9,FALSE)</f>
        <v>#REF!</v>
      </c>
      <c r="CC60" s="16" t="e">
        <f>VLOOKUP($CA60,$AS60:$BA63,8,FALSE)</f>
        <v>#REF!</v>
      </c>
      <c r="CD60" s="16" t="e">
        <f>VLOOKUP($CA60,$AS60:$BA63,6,FALSE)</f>
        <v>#REF!</v>
      </c>
      <c r="CH60" s="16" t="e">
        <f>CA60</f>
        <v>#REF!</v>
      </c>
      <c r="CI60" s="16" t="e">
        <f>VLOOKUP($CH60,$AS60:$BA63,2,FALSE)</f>
        <v>#REF!</v>
      </c>
      <c r="CJ60" s="16" t="e">
        <f>VLOOKUP($CH60,$AS60:$BA63,3,FALSE)</f>
        <v>#REF!</v>
      </c>
      <c r="CK60" s="16" t="e">
        <f>VLOOKUP($CH60,$AS60:$BA63,4,FALSE)</f>
        <v>#REF!</v>
      </c>
      <c r="CL60" s="16" t="e">
        <f>VLOOKUP($CH60,$AS60:$BA63,5,FALSE)</f>
        <v>#REF!</v>
      </c>
      <c r="CM60" s="16" t="e">
        <f>VLOOKUP($CH60,$AS60:$BA63,6,FALSE)</f>
        <v>#REF!</v>
      </c>
      <c r="CN60" s="16" t="e">
        <f>VLOOKUP($CH60,$AS60:$BA63,7,FALSE)</f>
        <v>#REF!</v>
      </c>
      <c r="CO60" s="16" t="e">
        <f>VLOOKUP($CH60,$AS60:$BA63,8,FALSE)</f>
        <v>#REF!</v>
      </c>
      <c r="CP60" s="16" t="e">
        <f>VLOOKUP($CH60,$AS60:$BA63,9,FALSE)</f>
        <v>#REF!</v>
      </c>
      <c r="CR60" s="21"/>
    </row>
    <row r="61" spans="2:96" ht="12.95" customHeight="1" thickBot="1" x14ac:dyDescent="0.25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AI61" s="240" t="str">
        <f>IF(G36=3,C36,"Winner E")</f>
        <v>Winner E</v>
      </c>
      <c r="AJ61" s="240"/>
      <c r="AK61" s="236"/>
      <c r="AL61" s="82" t="e">
        <f>IF(#REF!=3,#REF!,"Runner-Up B")</f>
        <v>#REF!</v>
      </c>
      <c r="AM61" s="47"/>
      <c r="AN61" s="41"/>
      <c r="AO61" s="41" t="str">
        <f>IF(AJ61&lt;&gt;"",IF(AJ61&gt;AK61,AI61,IF(AK61&gt;AJ61,AL61,"Draw")),"Second Rd 1")</f>
        <v>Second Rd 1</v>
      </c>
      <c r="AP61" s="41"/>
      <c r="AS61" s="16" t="str">
        <f>EINDRONDE!AB9</f>
        <v>9e Beste nrs. 3</v>
      </c>
      <c r="AT61" s="16">
        <f>COUNT(Belgium_Played)</f>
        <v>1</v>
      </c>
      <c r="AU61" s="16">
        <f>COUNTIF(Groupstage_Winners,"Belgium")</f>
        <v>1</v>
      </c>
      <c r="AV61" s="16">
        <f>COUNTIF(Groupstage_Losers,"Belgium")</f>
        <v>0</v>
      </c>
      <c r="AW61" s="16">
        <f>AT61-(AU61+AV61)</f>
        <v>0</v>
      </c>
      <c r="AX61" s="16" t="e">
        <f>SUM(Belgium_Played)</f>
        <v>#REF!</v>
      </c>
      <c r="AY61" s="16" t="e">
        <f>SUM(Belgium_Against)</f>
        <v>#REF!</v>
      </c>
      <c r="AZ61" s="16" t="e">
        <f>AX61-AY61</f>
        <v>#REF!</v>
      </c>
      <c r="BA61" s="16">
        <f t="shared" ref="BA61:BA63" si="17">SUM((AU61*3)+(AW61*1))</f>
        <v>3</v>
      </c>
      <c r="BB61" s="16" t="str">
        <f>IF($BA61&lt;=$BA60,$AS61,$AS60)</f>
        <v>8e Beste nrs. 3</v>
      </c>
      <c r="BC61" s="16">
        <f>VLOOKUP($BB61,$AS60:$BA63,9,FALSE)</f>
        <v>0</v>
      </c>
      <c r="BD61" s="16" t="str">
        <f>IF(BC61&gt;=BC63,BB61,BB63)</f>
        <v>8e Beste nrs. 3</v>
      </c>
      <c r="BE61" s="16">
        <f>VLOOKUP($BD61,$AS60:$BA63,9,FALSE)</f>
        <v>0</v>
      </c>
      <c r="BF61" s="16" t="str">
        <f>IF($BE61&gt;=$BE62,$BD61,$BD62)</f>
        <v>8e Beste nrs. 3</v>
      </c>
      <c r="BG61" s="16">
        <f>VLOOKUP($BF61,$AS60:$BA63,9,FALSE)</f>
        <v>0</v>
      </c>
      <c r="BH61" s="16" t="e">
        <f>VLOOKUP($BF61,$AS60:$BA63,8,FALSE)</f>
        <v>#REF!</v>
      </c>
      <c r="BI61" s="16" t="e">
        <f>IF(AND($BG60=$BG61,$BH61&gt;$BH60),$BF60,$BF61)</f>
        <v>#REF!</v>
      </c>
      <c r="BJ61" s="16" t="e">
        <f>VLOOKUP($BI61,$AS60:$BA63,9,FALSE)</f>
        <v>#REF!</v>
      </c>
      <c r="BK61" s="16" t="e">
        <f>VLOOKUP($BI61,$AS60:$BA63,8,FALSE)</f>
        <v>#REF!</v>
      </c>
      <c r="BL61" s="16" t="e">
        <f>IF(AND($BJ61=$BJ63,$BK63&gt;$BK61),$BI63,$BI61)</f>
        <v>#REF!</v>
      </c>
      <c r="BM61" s="16" t="e">
        <f>VLOOKUP($BL61,$AS60:$BA63,9,FALSE)</f>
        <v>#REF!</v>
      </c>
      <c r="BN61" s="16" t="e">
        <f>VLOOKUP($BL61,$AS60:$BA63,8,FALSE)</f>
        <v>#REF!</v>
      </c>
      <c r="BO61" s="16" t="e">
        <f>IF(AND($BM61=$BM62,$BN62&gt;$BN61),$BL62,$BL61)</f>
        <v>#REF!</v>
      </c>
      <c r="BP61" s="16" t="e">
        <f>VLOOKUP($BO61,$AS60:$BA63,9,FALSE)</f>
        <v>#REF!</v>
      </c>
      <c r="BQ61" s="16" t="e">
        <f>VLOOKUP($BO61,$AS60:$BA63,8,FALSE)</f>
        <v>#REF!</v>
      </c>
      <c r="BR61" s="16" t="e">
        <f>VLOOKUP($BO61,$AS60:$BA63,6,FALSE)</f>
        <v>#REF!</v>
      </c>
      <c r="BS61" s="16" t="e">
        <f>IF(AND($BP60=$BP61,$BQ60=$BQ61,$BR61&gt;$BR60),$BO60,$BO61)</f>
        <v>#REF!</v>
      </c>
      <c r="BT61" s="16" t="e">
        <f>VLOOKUP($BS61,$AS60:$BA63,9,FALSE)</f>
        <v>#REF!</v>
      </c>
      <c r="BU61" s="16" t="e">
        <f>VLOOKUP($BS61,$AS60:$BA63,8,FALSE)</f>
        <v>#REF!</v>
      </c>
      <c r="BV61" s="16" t="e">
        <f>VLOOKUP($BS61,$AS60:$BA63,6,FALSE)</f>
        <v>#REF!</v>
      </c>
      <c r="BW61" s="16" t="e">
        <f>IF(AND($BT61=$BT63,$BU61=$BU63,$BV63&gt;$BV61),$BS63,$BS61)</f>
        <v>#REF!</v>
      </c>
      <c r="BX61" s="16" t="e">
        <f>VLOOKUP($BW61,$AS60:$BA63,9,FALSE)</f>
        <v>#REF!</v>
      </c>
      <c r="BY61" s="16" t="e">
        <f>VLOOKUP($BW61,$AS60:$BA63,8,FALSE)</f>
        <v>#REF!</v>
      </c>
      <c r="BZ61" s="16" t="e">
        <f>VLOOKUP($BW61,$AS60:$BA63,6,FALSE)</f>
        <v>#REF!</v>
      </c>
      <c r="CA61" s="16" t="e">
        <f>IF(AND($BX61=$BX62,$BY61=$BY62,$BZ62&gt;$BZ61),$BW62,$BW61)</f>
        <v>#REF!</v>
      </c>
      <c r="CB61" s="16" t="e">
        <f>VLOOKUP($CA61,$AS60:$BA63,9,FALSE)</f>
        <v>#REF!</v>
      </c>
      <c r="CC61" s="16" t="e">
        <f>VLOOKUP($CA61,$AS60:$BA63,8,FALSE)</f>
        <v>#REF!</v>
      </c>
      <c r="CD61" s="16" t="e">
        <f>VLOOKUP($CA61,$AS60:$BA63,6,FALSE)</f>
        <v>#REF!</v>
      </c>
      <c r="CH61" s="16" t="e">
        <f>CA61</f>
        <v>#REF!</v>
      </c>
      <c r="CI61" s="16" t="e">
        <f>VLOOKUP($CH61,$AS60:$BA63,2,FALSE)</f>
        <v>#REF!</v>
      </c>
      <c r="CJ61" s="16" t="e">
        <f>VLOOKUP($CH61,$AS60:$BA63,3,FALSE)</f>
        <v>#REF!</v>
      </c>
      <c r="CK61" s="16" t="e">
        <f>VLOOKUP($CH61,$AS60:$BA63,4,FALSE)</f>
        <v>#REF!</v>
      </c>
      <c r="CL61" s="16" t="e">
        <f>VLOOKUP($CH61,$AS60:$BA63,5,FALSE)</f>
        <v>#REF!</v>
      </c>
      <c r="CM61" s="16" t="e">
        <f>VLOOKUP($CH61,$AS60:$BA63,6,FALSE)</f>
        <v>#REF!</v>
      </c>
      <c r="CN61" s="16" t="e">
        <f>VLOOKUP($CH61,$AS60:$BA63,7,FALSE)</f>
        <v>#REF!</v>
      </c>
      <c r="CO61" s="16" t="e">
        <f>VLOOKUP($CH61,$AS60:$BA63,8,FALSE)</f>
        <v>#REF!</v>
      </c>
      <c r="CP61" s="16" t="e">
        <f>VLOOKUP($CH61,$AS60:$BA63,9,FALSE)</f>
        <v>#REF!</v>
      </c>
      <c r="CR61" s="21" t="e">
        <f>#REF!</f>
        <v>#REF!</v>
      </c>
    </row>
    <row r="62" spans="2:96" ht="12.95" customHeight="1" thickBot="1" x14ac:dyDescent="0.25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AI62" s="240" t="e">
        <f>IF(#REF!=3,#REF!,"Winner A")</f>
        <v>#REF!</v>
      </c>
      <c r="AJ62" s="240"/>
      <c r="AK62" s="236"/>
      <c r="AL62" s="82" t="str">
        <f>IF(X37=3,T37,"Runner-Up F")</f>
        <v>Runner-Up F</v>
      </c>
      <c r="AM62" s="47"/>
      <c r="AN62" s="41"/>
      <c r="AO62" s="41" t="str">
        <f>IF(AJ62&lt;&gt;"",IF(AJ62&gt;AK62,AI62,IF(AK62&gt;AJ62,AL62,"Draw")),"Second Rd 2")</f>
        <v>Second Rd 2</v>
      </c>
      <c r="AP62" s="41"/>
      <c r="AS62" s="16" t="str">
        <f>EINDRONDE!AB10</f>
        <v>Veddetero's klunzen</v>
      </c>
      <c r="AT62" s="16">
        <f>COUNT(Russia_Played)</f>
        <v>0</v>
      </c>
      <c r="AU62" s="16">
        <f>COUNTIF(Groupstage_Winners,"Russia")</f>
        <v>0</v>
      </c>
      <c r="AV62" s="16">
        <f>COUNTIF(Groupstage_Losers,"Russia")</f>
        <v>0</v>
      </c>
      <c r="AW62" s="16">
        <f>AT62-(AU62+AV62)</f>
        <v>0</v>
      </c>
      <c r="AX62" s="16" t="e">
        <f>SUM(Russia_Played)</f>
        <v>#REF!</v>
      </c>
      <c r="AY62" s="16" t="e">
        <f>SUM(Russia_Against)</f>
        <v>#REF!</v>
      </c>
      <c r="AZ62" s="16" t="e">
        <f>AX62-AY62</f>
        <v>#REF!</v>
      </c>
      <c r="BA62" s="16">
        <f t="shared" si="17"/>
        <v>0</v>
      </c>
      <c r="BB62" s="16" t="str">
        <f>IF($BA62&gt;=$BA63,$AS62,$AS63)</f>
        <v>Veddetero's klunzen</v>
      </c>
      <c r="BC62" s="16">
        <f>VLOOKUP($BB62,$AS60:$BA63,9,FALSE)</f>
        <v>0</v>
      </c>
      <c r="BD62" s="16" t="str">
        <f>IF($BC62&lt;=$BC60,$BB62,$BB60)</f>
        <v>Veddetero's klunzen</v>
      </c>
      <c r="BE62" s="16">
        <f>VLOOKUP($BD62,$AS60:$BA63,9,FALSE)</f>
        <v>0</v>
      </c>
      <c r="BF62" s="16" t="str">
        <f>IF($BE62&lt;=$BE61,$BD62,$BD61)</f>
        <v>Veddetero's klunzen</v>
      </c>
      <c r="BG62" s="16">
        <f>VLOOKUP($BF62,$AS60:$BA63,9,FALSE)</f>
        <v>0</v>
      </c>
      <c r="BH62" s="16" t="e">
        <f>VLOOKUP($BF62,$AS60:$BA63,8,FALSE)</f>
        <v>#REF!</v>
      </c>
      <c r="BI62" s="16" t="e">
        <f>IF(AND($BG62=$BG63,$BH63&gt;$BH62),$BF63,$BF62)</f>
        <v>#REF!</v>
      </c>
      <c r="BJ62" s="16" t="e">
        <f>VLOOKUP($BI62,$AS60:$BA63,9,FALSE)</f>
        <v>#REF!</v>
      </c>
      <c r="BK62" s="16" t="e">
        <f>VLOOKUP($BI62,$AS60:$BA63,8,FALSE)</f>
        <v>#REF!</v>
      </c>
      <c r="BL62" s="16" t="e">
        <f>IF(AND($BJ60=$BJ62,$BK62&gt;$BK60),$BI60,$BI62)</f>
        <v>#REF!</v>
      </c>
      <c r="BM62" s="16" t="e">
        <f>VLOOKUP($BL62,$AS60:$BA63,9,FALSE)</f>
        <v>#REF!</v>
      </c>
      <c r="BN62" s="16" t="e">
        <f>VLOOKUP($BL62,$AS60:$BA63,8,FALSE)</f>
        <v>#REF!</v>
      </c>
      <c r="BO62" s="16" t="e">
        <f>IF(AND($BM61=$BM62,$BN62&gt;$BN61),$BL61,$BL62)</f>
        <v>#REF!</v>
      </c>
      <c r="BP62" s="16" t="e">
        <f>VLOOKUP($BO62,$AS60:$BA63,9,FALSE)</f>
        <v>#REF!</v>
      </c>
      <c r="BQ62" s="16" t="e">
        <f>VLOOKUP($BO62,$AS60:$BA63,8,FALSE)</f>
        <v>#REF!</v>
      </c>
      <c r="BR62" s="16" t="e">
        <f>VLOOKUP($BO62,$AS60:$BA63,6,FALSE)</f>
        <v>#REF!</v>
      </c>
      <c r="BS62" s="16" t="e">
        <f>IF(AND($BP62=$BP63,$BQ62=$BQ63,$BR63&gt;$BR62),$BO63,$BO62)</f>
        <v>#REF!</v>
      </c>
      <c r="BT62" s="16" t="e">
        <f>VLOOKUP($BS62,$AS60:$BA63,9,FALSE)</f>
        <v>#REF!</v>
      </c>
      <c r="BU62" s="16" t="e">
        <f>VLOOKUP($BS62,$AS60:$BA63,8,FALSE)</f>
        <v>#REF!</v>
      </c>
      <c r="BV62" s="16" t="e">
        <f>VLOOKUP($BS62,$AS60:$BA63,6,FALSE)</f>
        <v>#REF!</v>
      </c>
      <c r="BW62" s="16" t="e">
        <f>IF(AND($BT60=$BT62,$BU60=$BU62,$BV61&gt;$BV60),$BS60,$BS62)</f>
        <v>#REF!</v>
      </c>
      <c r="BX62" s="16" t="e">
        <f>VLOOKUP($BW62,$AS60:$BA63,9,FALSE)</f>
        <v>#REF!</v>
      </c>
      <c r="BY62" s="16" t="e">
        <f>VLOOKUP($BW62,$AS60:$BA63,8,FALSE)</f>
        <v>#REF!</v>
      </c>
      <c r="BZ62" s="16" t="e">
        <f>VLOOKUP($BW62,$AS60:$BA63,6,FALSE)</f>
        <v>#REF!</v>
      </c>
      <c r="CA62" s="16" t="e">
        <f>IF(AND($BX61=$BX62,$BY61=$BY62,$BZ62&gt;$BZ61),$BW61,$BW62)</f>
        <v>#REF!</v>
      </c>
      <c r="CB62" s="16" t="e">
        <f>VLOOKUP($CA62,$AS60:$BA63,9,FALSE)</f>
        <v>#REF!</v>
      </c>
      <c r="CC62" s="16" t="e">
        <f>VLOOKUP($CA62,$AS60:$BA63,8,FALSE)</f>
        <v>#REF!</v>
      </c>
      <c r="CD62" s="16" t="e">
        <f>VLOOKUP($CA62,$AS60:$BA63,6,FALSE)</f>
        <v>#REF!</v>
      </c>
      <c r="CH62" s="16" t="e">
        <f>CA62</f>
        <v>#REF!</v>
      </c>
      <c r="CI62" s="16" t="e">
        <f>VLOOKUP($CH62,$AS60:$BA63,2,FALSE)</f>
        <v>#REF!</v>
      </c>
      <c r="CJ62" s="16" t="e">
        <f>VLOOKUP($CH62,$AS60:$BA63,3,FALSE)</f>
        <v>#REF!</v>
      </c>
      <c r="CK62" s="16" t="e">
        <f>VLOOKUP($CH62,$AS60:$BA63,4,FALSE)</f>
        <v>#REF!</v>
      </c>
      <c r="CL62" s="16" t="e">
        <f>VLOOKUP($CH62,$AS60:$BA63,5,FALSE)</f>
        <v>#REF!</v>
      </c>
      <c r="CM62" s="16" t="e">
        <f>VLOOKUP($CH62,$AS60:$BA63,6,FALSE)</f>
        <v>#REF!</v>
      </c>
      <c r="CN62" s="16" t="e">
        <f>VLOOKUP($CH62,$AS60:$BA63,7,FALSE)</f>
        <v>#REF!</v>
      </c>
      <c r="CO62" s="16" t="e">
        <f>VLOOKUP($CH62,$AS60:$BA63,8,FALSE)</f>
        <v>#REF!</v>
      </c>
      <c r="CP62" s="16" t="e">
        <f>VLOOKUP($CH62,$AS60:$BA63,9,FALSE)</f>
        <v>#REF!</v>
      </c>
      <c r="CR62" s="21" t="e">
        <f>#REF!</f>
        <v>#REF!</v>
      </c>
    </row>
    <row r="63" spans="2:96" ht="13.5" thickBot="1" x14ac:dyDescent="0.25">
      <c r="AI63" s="240" t="str">
        <f>IF(X36=3,T36,"Winner F")</f>
        <v>Winner F</v>
      </c>
      <c r="AJ63" s="240"/>
      <c r="AK63" s="236"/>
      <c r="AL63" s="82" t="e">
        <f>IF(#REF!=3,#REF!,"Runner-Up A")</f>
        <v>#REF!</v>
      </c>
      <c r="AN63" s="41"/>
      <c r="AO63" s="41" t="str">
        <f>IF(AJ63&lt;&gt;"",IF(AJ63&gt;AK63,AI63,IF(AK63&gt;AJ63,AL63,"Draw")),"Second Rd 3")</f>
        <v>Second Rd 3</v>
      </c>
      <c r="AP63" s="41"/>
      <c r="AS63" s="16" t="str">
        <f>EINDRONDE!AB11</f>
        <v>4e Poule E</v>
      </c>
      <c r="AT63" s="16">
        <f>COUNT(Tunisia_Played)</f>
        <v>0</v>
      </c>
      <c r="AU63" s="16">
        <f>COUNTIF(Groupstage_Winners,"Tunisia")</f>
        <v>0</v>
      </c>
      <c r="AV63" s="16">
        <f>COUNTIF(Groupstage_Losers,"Tunisia")</f>
        <v>0</v>
      </c>
      <c r="AW63" s="16">
        <f>AT63-(AU63+AV63)</f>
        <v>0</v>
      </c>
      <c r="AX63" s="16" t="e">
        <f>SUM(Tunisia_Played)</f>
        <v>#REF!</v>
      </c>
      <c r="AY63" s="16" t="e">
        <f>SUM(Tunisia_Against)</f>
        <v>#REF!</v>
      </c>
      <c r="AZ63" s="16" t="e">
        <f>AX63-AY63</f>
        <v>#REF!</v>
      </c>
      <c r="BA63" s="16">
        <f t="shared" si="17"/>
        <v>0</v>
      </c>
      <c r="BB63" s="16" t="str">
        <f>IF($BA63&lt;=$BA62,$AS63,$AS62)</f>
        <v>4e Poule E</v>
      </c>
      <c r="BC63" s="16">
        <f>VLOOKUP($BB63,$AS60:$BA63,9,FALSE)</f>
        <v>0</v>
      </c>
      <c r="BD63" s="16" t="str">
        <f>IF(BC63&lt;=BC61,BB63,BB61)</f>
        <v>4e Poule E</v>
      </c>
      <c r="BE63" s="16">
        <f>VLOOKUP($BD63,$AS60:$BA63,9,FALSE)</f>
        <v>0</v>
      </c>
      <c r="BF63" s="16" t="str">
        <f>IF($BE63&lt;=$BE60,$BD63,$BD60)</f>
        <v>4e Poule E</v>
      </c>
      <c r="BG63" s="16">
        <f>VLOOKUP($BF63,$AS60:$BA63,9,FALSE)</f>
        <v>0</v>
      </c>
      <c r="BH63" s="16" t="e">
        <f>VLOOKUP($BF63,$AS60:$BA63,8,FALSE)</f>
        <v>#REF!</v>
      </c>
      <c r="BI63" s="16" t="e">
        <f>IF(AND($BG62=$BG63,$BH63&gt;$BH62),$BF62,$BF63)</f>
        <v>#REF!</v>
      </c>
      <c r="BJ63" s="16" t="e">
        <f>VLOOKUP($BI63,$AS60:$BA63,9,FALSE)</f>
        <v>#REF!</v>
      </c>
      <c r="BK63" s="16" t="e">
        <f>VLOOKUP($BI63,$AS60:$BA63,8,FALSE)</f>
        <v>#REF!</v>
      </c>
      <c r="BL63" s="16" t="e">
        <f>IF(AND($BJ61=$BJ63,$BK63&gt;$BK61),$BI61,$BI63)</f>
        <v>#REF!</v>
      </c>
      <c r="BM63" s="16" t="e">
        <f>VLOOKUP($BL63,$AS60:$BA63,9,FALSE)</f>
        <v>#REF!</v>
      </c>
      <c r="BN63" s="16" t="e">
        <f>VLOOKUP($BL63,$AS60:$BA63,8,FALSE)</f>
        <v>#REF!</v>
      </c>
      <c r="BO63" s="16" t="e">
        <f>IF(AND($BM60=$BM63,$BN63&gt;$BN60),$BL60,$BL63)</f>
        <v>#REF!</v>
      </c>
      <c r="BP63" s="16" t="e">
        <f>VLOOKUP($BO63,$AS60:$BA63,9,FALSE)</f>
        <v>#REF!</v>
      </c>
      <c r="BQ63" s="16" t="e">
        <f>VLOOKUP($BO63,$AS60:$BA63,8,FALSE)</f>
        <v>#REF!</v>
      </c>
      <c r="BR63" s="16" t="e">
        <f>VLOOKUP($BO63,$AS60:$BA63,6,FALSE)</f>
        <v>#REF!</v>
      </c>
      <c r="BS63" s="16" t="e">
        <f>IF(AND($BP62=$BP63,$BQ62=$BQ63,$BR63&gt;$BR62),$BO62,$BO63)</f>
        <v>#REF!</v>
      </c>
      <c r="BT63" s="16" t="e">
        <f>VLOOKUP($BS63,$AS60:$BA63,9,FALSE)</f>
        <v>#REF!</v>
      </c>
      <c r="BU63" s="16" t="e">
        <f>VLOOKUP($BS63,$AS60:$BA63,8,FALSE)</f>
        <v>#REF!</v>
      </c>
      <c r="BV63" s="16" t="e">
        <f>VLOOKUP($BS63,$AS60:$BA63,6,FALSE)</f>
        <v>#REF!</v>
      </c>
      <c r="BW63" s="16" t="e">
        <f>IF(AND($BT61=$BT63,$BU61=$BU63,$BV63&gt;$BV61),$BS61,$BS63)</f>
        <v>#REF!</v>
      </c>
      <c r="BX63" s="16" t="e">
        <f>VLOOKUP($BW63,$AS60:$BA63,9,FALSE)</f>
        <v>#REF!</v>
      </c>
      <c r="BY63" s="16" t="e">
        <f>VLOOKUP($BW63,$AS60:$BA63,8,FALSE)</f>
        <v>#REF!</v>
      </c>
      <c r="BZ63" s="16" t="e">
        <f>VLOOKUP($BW63,$AS60:$BA63,6,FALSE)</f>
        <v>#REF!</v>
      </c>
      <c r="CA63" s="16" t="e">
        <f>IF(AND($BX60=$BX63,$BY60=$BY63,$BZ63&gt;$BZ60),$BW60,$BW63)</f>
        <v>#REF!</v>
      </c>
      <c r="CB63" s="16" t="e">
        <f>VLOOKUP($CA63,$AS60:$BA63,9,FALSE)</f>
        <v>#REF!</v>
      </c>
      <c r="CC63" s="16" t="e">
        <f>VLOOKUP($CA63,$AS60:$BA63,8,FALSE)</f>
        <v>#REF!</v>
      </c>
      <c r="CD63" s="16" t="e">
        <f>VLOOKUP($CA63,$AS60:$BA63,6,FALSE)</f>
        <v>#REF!</v>
      </c>
      <c r="CH63" s="16" t="e">
        <f>CA63</f>
        <v>#REF!</v>
      </c>
      <c r="CI63" s="16" t="e">
        <f>VLOOKUP($CH63,$AS60:$BA63,2,FALSE)</f>
        <v>#REF!</v>
      </c>
      <c r="CJ63" s="16" t="e">
        <f>VLOOKUP($CH63,$AS60:$BA63,3,FALSE)</f>
        <v>#REF!</v>
      </c>
      <c r="CK63" s="16" t="e">
        <f>VLOOKUP($CH63,$AS60:$BA63,4,FALSE)</f>
        <v>#REF!</v>
      </c>
      <c r="CL63" s="16" t="e">
        <f>VLOOKUP($CH63,$AS60:$BA63,5,FALSE)</f>
        <v>#REF!</v>
      </c>
      <c r="CM63" s="16" t="e">
        <f>VLOOKUP($CH63,$AS60:$BA63,6,FALSE)</f>
        <v>#REF!</v>
      </c>
      <c r="CN63" s="16" t="e">
        <f>VLOOKUP($CH63,$AS60:$BA63,7,FALSE)</f>
        <v>#REF!</v>
      </c>
      <c r="CO63" s="16" t="e">
        <f>VLOOKUP($CH63,$AS60:$BA63,8,FALSE)</f>
        <v>#REF!</v>
      </c>
      <c r="CP63" s="16" t="e">
        <f>VLOOKUP($CH63,$AS60:$BA63,9,FALSE)</f>
        <v>#REF!</v>
      </c>
      <c r="CR63" s="21" t="e">
        <f>#REF!</f>
        <v>#REF!</v>
      </c>
    </row>
    <row r="64" spans="2:96" ht="13.5" thickBot="1" x14ac:dyDescent="0.25">
      <c r="AI64" s="240" t="e">
        <f>IF(#REF!=3,#REF!,"Winner B")</f>
        <v>#REF!</v>
      </c>
      <c r="AJ64" s="240"/>
      <c r="AK64" s="236"/>
      <c r="AL64" s="82" t="str">
        <f>IF(G37=3,C37,"Runner-Up E")</f>
        <v>Runner-Up E</v>
      </c>
      <c r="AN64" s="41"/>
      <c r="AO64" s="41" t="str">
        <f>IF(AJ64&lt;&gt;"",IF(AJ64&gt;AK64,AI64,IF(AK64&gt;AJ64,AL64,"Draw")),"Second Rd 4")</f>
        <v>Second Rd 4</v>
      </c>
      <c r="AP64" s="41"/>
      <c r="CR64" s="21" t="e">
        <f>#REF!</f>
        <v>#REF!</v>
      </c>
    </row>
    <row r="65" spans="96:96" x14ac:dyDescent="0.2">
      <c r="CR65" s="21"/>
    </row>
    <row r="66" spans="96:96" x14ac:dyDescent="0.2">
      <c r="CR66" s="21"/>
    </row>
    <row r="67" spans="96:96" x14ac:dyDescent="0.2">
      <c r="CR67" s="21"/>
    </row>
    <row r="68" spans="96:96" x14ac:dyDescent="0.2">
      <c r="CR68" s="21"/>
    </row>
    <row r="69" spans="96:96" x14ac:dyDescent="0.2">
      <c r="CR69" s="21"/>
    </row>
    <row r="70" spans="96:96" x14ac:dyDescent="0.2">
      <c r="CR70" s="21"/>
    </row>
    <row r="71" spans="96:96" x14ac:dyDescent="0.2">
      <c r="CR71" s="21"/>
    </row>
    <row r="72" spans="96:96" x14ac:dyDescent="0.2">
      <c r="CR72" s="21"/>
    </row>
    <row r="73" spans="96:96" x14ac:dyDescent="0.2">
      <c r="CR73" s="21"/>
    </row>
    <row r="74" spans="96:96" x14ac:dyDescent="0.2">
      <c r="CR74" s="21"/>
    </row>
    <row r="75" spans="96:96" x14ac:dyDescent="0.2">
      <c r="CR75" s="21"/>
    </row>
    <row r="76" spans="96:96" x14ac:dyDescent="0.2">
      <c r="CR76" s="21"/>
    </row>
    <row r="77" spans="96:96" x14ac:dyDescent="0.2">
      <c r="CR77" s="21"/>
    </row>
    <row r="78" spans="96:96" x14ac:dyDescent="0.2">
      <c r="CR78" s="21"/>
    </row>
    <row r="79" spans="96:96" x14ac:dyDescent="0.2">
      <c r="CR79" s="21"/>
    </row>
    <row r="80" spans="96:96" x14ac:dyDescent="0.2">
      <c r="CR80" s="21"/>
    </row>
    <row r="81" spans="96:96" x14ac:dyDescent="0.2">
      <c r="CR81" s="21"/>
    </row>
    <row r="82" spans="96:96" x14ac:dyDescent="0.2">
      <c r="CR82" s="21"/>
    </row>
    <row r="83" spans="96:96" x14ac:dyDescent="0.2">
      <c r="CR83" s="21"/>
    </row>
    <row r="84" spans="96:96" x14ac:dyDescent="0.2">
      <c r="CR84" s="21"/>
    </row>
    <row r="85" spans="96:96" x14ac:dyDescent="0.2">
      <c r="CR85" s="21"/>
    </row>
    <row r="86" spans="96:96" x14ac:dyDescent="0.2">
      <c r="CR86" s="21"/>
    </row>
    <row r="87" spans="96:96" x14ac:dyDescent="0.2">
      <c r="CR87" s="21"/>
    </row>
    <row r="88" spans="96:96" x14ac:dyDescent="0.2">
      <c r="CR88" s="21"/>
    </row>
    <row r="89" spans="96:96" x14ac:dyDescent="0.2">
      <c r="CR89" s="21"/>
    </row>
    <row r="90" spans="96:96" x14ac:dyDescent="0.2">
      <c r="CR90" s="21"/>
    </row>
    <row r="91" spans="96:96" x14ac:dyDescent="0.2">
      <c r="CR91" s="21"/>
    </row>
    <row r="92" spans="96:96" x14ac:dyDescent="0.2">
      <c r="CR92" s="21"/>
    </row>
    <row r="93" spans="96:96" x14ac:dyDescent="0.2">
      <c r="CR93" s="21"/>
    </row>
    <row r="94" spans="96:96" x14ac:dyDescent="0.2">
      <c r="CR94" s="21"/>
    </row>
    <row r="95" spans="96:96" x14ac:dyDescent="0.2">
      <c r="CR95" s="21"/>
    </row>
    <row r="96" spans="96:96" x14ac:dyDescent="0.2">
      <c r="CR96" s="21"/>
    </row>
    <row r="97" spans="96:96" x14ac:dyDescent="0.2">
      <c r="CR97" s="21"/>
    </row>
    <row r="98" spans="96:96" x14ac:dyDescent="0.2">
      <c r="CR98" s="21"/>
    </row>
    <row r="99" spans="96:96" x14ac:dyDescent="0.2">
      <c r="CR99" s="21"/>
    </row>
    <row r="100" spans="96:96" x14ac:dyDescent="0.2">
      <c r="CR100" s="21"/>
    </row>
    <row r="101" spans="96:96" x14ac:dyDescent="0.2">
      <c r="CR101" s="21"/>
    </row>
    <row r="102" spans="96:96" x14ac:dyDescent="0.2">
      <c r="CR102" s="21"/>
    </row>
    <row r="103" spans="96:96" x14ac:dyDescent="0.2">
      <c r="CR103" s="21"/>
    </row>
    <row r="104" spans="96:96" x14ac:dyDescent="0.2">
      <c r="CR104" s="21"/>
    </row>
    <row r="105" spans="96:96" x14ac:dyDescent="0.2">
      <c r="CR105" s="21"/>
    </row>
    <row r="106" spans="96:96" x14ac:dyDescent="0.2">
      <c r="CR106" s="21"/>
    </row>
    <row r="107" spans="96:96" x14ac:dyDescent="0.2">
      <c r="CR107" s="21"/>
    </row>
    <row r="108" spans="96:96" x14ac:dyDescent="0.2">
      <c r="CR108" s="21"/>
    </row>
    <row r="109" spans="96:96" x14ac:dyDescent="0.2">
      <c r="CR109" s="21"/>
    </row>
    <row r="110" spans="96:96" x14ac:dyDescent="0.2">
      <c r="CR110" s="21"/>
    </row>
    <row r="111" spans="96:96" x14ac:dyDescent="0.2">
      <c r="CR111" s="21"/>
    </row>
    <row r="112" spans="96:96" x14ac:dyDescent="0.2">
      <c r="CR112" s="21"/>
    </row>
    <row r="113" spans="96:96" x14ac:dyDescent="0.2">
      <c r="CR113" s="21"/>
    </row>
    <row r="114" spans="96:96" x14ac:dyDescent="0.2">
      <c r="CR114" s="21"/>
    </row>
    <row r="115" spans="96:96" x14ac:dyDescent="0.2">
      <c r="CR115" s="21"/>
    </row>
    <row r="116" spans="96:96" x14ac:dyDescent="0.2">
      <c r="CR116" s="21"/>
    </row>
    <row r="117" spans="96:96" x14ac:dyDescent="0.2">
      <c r="CR117" s="21"/>
    </row>
    <row r="118" spans="96:96" x14ac:dyDescent="0.2">
      <c r="CR118" s="21"/>
    </row>
    <row r="119" spans="96:96" x14ac:dyDescent="0.2">
      <c r="CR119" s="21"/>
    </row>
    <row r="120" spans="96:96" x14ac:dyDescent="0.2">
      <c r="CR120" s="21"/>
    </row>
    <row r="121" spans="96:96" x14ac:dyDescent="0.2">
      <c r="CR121" s="21"/>
    </row>
    <row r="122" spans="96:96" x14ac:dyDescent="0.2">
      <c r="CR122" s="21"/>
    </row>
    <row r="123" spans="96:96" x14ac:dyDescent="0.2">
      <c r="CR123" s="21"/>
    </row>
    <row r="124" spans="96:96" x14ac:dyDescent="0.2">
      <c r="CR124" s="18"/>
    </row>
    <row r="125" spans="96:96" x14ac:dyDescent="0.2">
      <c r="CR125" s="18"/>
    </row>
    <row r="126" spans="96:96" x14ac:dyDescent="0.2">
      <c r="CR126" s="18"/>
    </row>
    <row r="127" spans="96:96" x14ac:dyDescent="0.2">
      <c r="CR127" s="18"/>
    </row>
    <row r="128" spans="96:96" x14ac:dyDescent="0.2">
      <c r="CR128" s="18"/>
    </row>
    <row r="129" spans="96:96" x14ac:dyDescent="0.2">
      <c r="CR129" s="18"/>
    </row>
    <row r="130" spans="96:96" x14ac:dyDescent="0.2">
      <c r="CR130" s="18"/>
    </row>
    <row r="131" spans="96:96" x14ac:dyDescent="0.2">
      <c r="CR131" s="18"/>
    </row>
    <row r="132" spans="96:96" x14ac:dyDescent="0.2">
      <c r="CR132" s="18"/>
    </row>
    <row r="133" spans="96:96" x14ac:dyDescent="0.2">
      <c r="CR133" s="18"/>
    </row>
    <row r="134" spans="96:96" x14ac:dyDescent="0.2">
      <c r="CR134" s="18"/>
    </row>
    <row r="135" spans="96:96" x14ac:dyDescent="0.2">
      <c r="CR135" s="18"/>
    </row>
    <row r="136" spans="96:96" x14ac:dyDescent="0.2">
      <c r="CR136" s="18"/>
    </row>
    <row r="137" spans="96:96" x14ac:dyDescent="0.2">
      <c r="CR137" s="18"/>
    </row>
    <row r="138" spans="96:96" x14ac:dyDescent="0.2">
      <c r="CR138" s="18"/>
    </row>
    <row r="139" spans="96:96" x14ac:dyDescent="0.2">
      <c r="CR139" s="18"/>
    </row>
    <row r="140" spans="96:96" x14ac:dyDescent="0.2">
      <c r="CR140" s="18"/>
    </row>
    <row r="141" spans="96:96" x14ac:dyDescent="0.2">
      <c r="CR141" s="18"/>
    </row>
    <row r="142" spans="96:96" x14ac:dyDescent="0.2">
      <c r="CR142" s="18"/>
    </row>
    <row r="143" spans="96:96" x14ac:dyDescent="0.2">
      <c r="CR143" s="18"/>
    </row>
    <row r="144" spans="96:96" x14ac:dyDescent="0.2">
      <c r="CR144" s="18"/>
    </row>
    <row r="145" spans="96:96" x14ac:dyDescent="0.2">
      <c r="CR145" s="18"/>
    </row>
    <row r="146" spans="96:96" x14ac:dyDescent="0.2">
      <c r="CR146" s="18"/>
    </row>
    <row r="147" spans="96:96" x14ac:dyDescent="0.2">
      <c r="CR147" s="18"/>
    </row>
    <row r="148" spans="96:96" x14ac:dyDescent="0.2">
      <c r="CR148" s="18"/>
    </row>
    <row r="149" spans="96:96" x14ac:dyDescent="0.2">
      <c r="CR149" s="18"/>
    </row>
    <row r="150" spans="96:96" x14ac:dyDescent="0.2">
      <c r="CR150" s="18"/>
    </row>
    <row r="151" spans="96:96" x14ac:dyDescent="0.2">
      <c r="CR151" s="18"/>
    </row>
    <row r="152" spans="96:96" x14ac:dyDescent="0.2">
      <c r="CR152" s="18"/>
    </row>
    <row r="153" spans="96:96" x14ac:dyDescent="0.2">
      <c r="CR153" s="18"/>
    </row>
    <row r="154" spans="96:96" x14ac:dyDescent="0.2">
      <c r="CR154" s="18"/>
    </row>
    <row r="155" spans="96:96" x14ac:dyDescent="0.2">
      <c r="CR155" s="18"/>
    </row>
    <row r="156" spans="96:96" x14ac:dyDescent="0.2">
      <c r="CR156" s="18"/>
    </row>
    <row r="157" spans="96:96" x14ac:dyDescent="0.2">
      <c r="CR157" s="18"/>
    </row>
    <row r="158" spans="96:96" x14ac:dyDescent="0.2">
      <c r="CR158" s="18"/>
    </row>
    <row r="159" spans="96:96" x14ac:dyDescent="0.2">
      <c r="CR159" s="18"/>
    </row>
    <row r="160" spans="96:96" x14ac:dyDescent="0.2">
      <c r="CR160" s="18"/>
    </row>
    <row r="161" spans="96:96" x14ac:dyDescent="0.2">
      <c r="CR161" s="18"/>
    </row>
    <row r="162" spans="96:96" x14ac:dyDescent="0.2">
      <c r="CR162" s="18"/>
    </row>
    <row r="163" spans="96:96" x14ac:dyDescent="0.2">
      <c r="CR163" s="18"/>
    </row>
    <row r="164" spans="96:96" x14ac:dyDescent="0.2">
      <c r="CR164" s="18"/>
    </row>
    <row r="165" spans="96:96" x14ac:dyDescent="0.2">
      <c r="CR165" s="18"/>
    </row>
    <row r="166" spans="96:96" x14ac:dyDescent="0.2">
      <c r="CR166" s="18"/>
    </row>
    <row r="167" spans="96:96" x14ac:dyDescent="0.2">
      <c r="CR167" s="18"/>
    </row>
    <row r="168" spans="96:96" x14ac:dyDescent="0.2">
      <c r="CR168" s="18"/>
    </row>
    <row r="169" spans="96:96" x14ac:dyDescent="0.2">
      <c r="CR169" s="18"/>
    </row>
    <row r="170" spans="96:96" x14ac:dyDescent="0.2">
      <c r="CR170" s="18"/>
    </row>
    <row r="171" spans="96:96" x14ac:dyDescent="0.2">
      <c r="CR171" s="18"/>
    </row>
    <row r="172" spans="96:96" x14ac:dyDescent="0.2">
      <c r="CR172" s="18"/>
    </row>
    <row r="173" spans="96:96" x14ac:dyDescent="0.2">
      <c r="CR173" s="18"/>
    </row>
    <row r="174" spans="96:96" x14ac:dyDescent="0.2">
      <c r="CR174" s="18"/>
    </row>
    <row r="175" spans="96:96" x14ac:dyDescent="0.2">
      <c r="CR175" s="18"/>
    </row>
    <row r="176" spans="96:96" x14ac:dyDescent="0.2">
      <c r="CR176" s="18"/>
    </row>
    <row r="177" spans="96:96" x14ac:dyDescent="0.2">
      <c r="CR177" s="18"/>
    </row>
    <row r="178" spans="96:96" x14ac:dyDescent="0.2">
      <c r="CR178" s="18"/>
    </row>
    <row r="179" spans="96:96" x14ac:dyDescent="0.2">
      <c r="CR179" s="18"/>
    </row>
    <row r="180" spans="96:96" x14ac:dyDescent="0.2">
      <c r="CR180" s="18"/>
    </row>
    <row r="181" spans="96:96" x14ac:dyDescent="0.2">
      <c r="CR181" s="18"/>
    </row>
    <row r="182" spans="96:96" x14ac:dyDescent="0.2">
      <c r="CR182" s="18"/>
    </row>
    <row r="183" spans="96:96" x14ac:dyDescent="0.2">
      <c r="CR183" s="18"/>
    </row>
    <row r="184" spans="96:96" x14ac:dyDescent="0.2">
      <c r="CR184" s="18"/>
    </row>
    <row r="185" spans="96:96" x14ac:dyDescent="0.2">
      <c r="CR185" s="18"/>
    </row>
    <row r="186" spans="96:96" x14ac:dyDescent="0.2">
      <c r="CR186" s="18"/>
    </row>
    <row r="187" spans="96:96" x14ac:dyDescent="0.2">
      <c r="CR187" s="18"/>
    </row>
    <row r="188" spans="96:96" x14ac:dyDescent="0.2">
      <c r="CR188" s="18"/>
    </row>
    <row r="189" spans="96:96" x14ac:dyDescent="0.2">
      <c r="CR189" s="18"/>
    </row>
    <row r="190" spans="96:96" x14ac:dyDescent="0.2">
      <c r="CR190" s="18"/>
    </row>
    <row r="191" spans="96:96" x14ac:dyDescent="0.2">
      <c r="CR191" s="18"/>
    </row>
    <row r="192" spans="96:96" x14ac:dyDescent="0.2">
      <c r="CR192" s="18"/>
    </row>
    <row r="193" spans="96:96" x14ac:dyDescent="0.2">
      <c r="CR193" s="18"/>
    </row>
    <row r="194" spans="96:96" x14ac:dyDescent="0.2">
      <c r="CR194" s="18"/>
    </row>
    <row r="195" spans="96:96" x14ac:dyDescent="0.2">
      <c r="CR195" s="18"/>
    </row>
    <row r="196" spans="96:96" x14ac:dyDescent="0.2">
      <c r="CR196" s="18"/>
    </row>
    <row r="197" spans="96:96" x14ac:dyDescent="0.2">
      <c r="CR197" s="18"/>
    </row>
    <row r="198" spans="96:96" x14ac:dyDescent="0.2">
      <c r="CR198" s="18"/>
    </row>
    <row r="199" spans="96:96" x14ac:dyDescent="0.2">
      <c r="CR199" s="18"/>
    </row>
    <row r="200" spans="96:96" x14ac:dyDescent="0.2">
      <c r="CR200" s="18"/>
    </row>
    <row r="201" spans="96:96" x14ac:dyDescent="0.2">
      <c r="CR201" s="18"/>
    </row>
    <row r="202" spans="96:96" x14ac:dyDescent="0.2">
      <c r="CR202" s="18"/>
    </row>
    <row r="203" spans="96:96" x14ac:dyDescent="0.2">
      <c r="CR203" s="18"/>
    </row>
    <row r="204" spans="96:96" x14ac:dyDescent="0.2">
      <c r="CR204" s="18"/>
    </row>
    <row r="205" spans="96:96" x14ac:dyDescent="0.2">
      <c r="CR205" s="18"/>
    </row>
    <row r="206" spans="96:96" x14ac:dyDescent="0.2">
      <c r="CR206" s="18"/>
    </row>
    <row r="207" spans="96:96" x14ac:dyDescent="0.2">
      <c r="CR207" s="18"/>
    </row>
    <row r="208" spans="96:96" x14ac:dyDescent="0.2">
      <c r="CR208" s="18"/>
    </row>
    <row r="209" spans="96:96" x14ac:dyDescent="0.2">
      <c r="CR209" s="18"/>
    </row>
    <row r="210" spans="96:96" x14ac:dyDescent="0.2">
      <c r="CR210" s="18"/>
    </row>
    <row r="211" spans="96:96" x14ac:dyDescent="0.2">
      <c r="CR211" s="18"/>
    </row>
    <row r="212" spans="96:96" x14ac:dyDescent="0.2">
      <c r="CR212" s="18"/>
    </row>
    <row r="213" spans="96:96" x14ac:dyDescent="0.2">
      <c r="CR213" s="18"/>
    </row>
    <row r="214" spans="96:96" x14ac:dyDescent="0.2">
      <c r="CR214" s="18"/>
    </row>
    <row r="215" spans="96:96" x14ac:dyDescent="0.2">
      <c r="CR215" s="18"/>
    </row>
    <row r="216" spans="96:96" x14ac:dyDescent="0.2">
      <c r="CR216" s="18"/>
    </row>
    <row r="217" spans="96:96" x14ac:dyDescent="0.2">
      <c r="CR217" s="18"/>
    </row>
    <row r="218" spans="96:96" x14ac:dyDescent="0.2">
      <c r="CR218" s="18"/>
    </row>
    <row r="219" spans="96:96" x14ac:dyDescent="0.2">
      <c r="CR219" s="18"/>
    </row>
    <row r="220" spans="96:96" x14ac:dyDescent="0.2">
      <c r="CR220" s="18"/>
    </row>
    <row r="221" spans="96:96" x14ac:dyDescent="0.2">
      <c r="CR221" s="18"/>
    </row>
    <row r="222" spans="96:96" x14ac:dyDescent="0.2">
      <c r="CR222" s="18"/>
    </row>
    <row r="223" spans="96:96" x14ac:dyDescent="0.2">
      <c r="CR223" s="18"/>
    </row>
    <row r="224" spans="96:96" x14ac:dyDescent="0.2">
      <c r="CR224" s="18"/>
    </row>
    <row r="225" spans="96:96" x14ac:dyDescent="0.2">
      <c r="CR225" s="18"/>
    </row>
    <row r="226" spans="96:96" x14ac:dyDescent="0.2">
      <c r="CR226" s="18"/>
    </row>
    <row r="227" spans="96:96" x14ac:dyDescent="0.2">
      <c r="CR227" s="18"/>
    </row>
    <row r="228" spans="96:96" x14ac:dyDescent="0.2">
      <c r="CR228" s="18"/>
    </row>
    <row r="229" spans="96:96" x14ac:dyDescent="0.2">
      <c r="CR229" s="18"/>
    </row>
    <row r="230" spans="96:96" x14ac:dyDescent="0.2">
      <c r="CR230" s="18"/>
    </row>
    <row r="231" spans="96:96" x14ac:dyDescent="0.2">
      <c r="CR231" s="18"/>
    </row>
    <row r="232" spans="96:96" x14ac:dyDescent="0.2">
      <c r="CR232" s="18"/>
    </row>
    <row r="233" spans="96:96" x14ac:dyDescent="0.2">
      <c r="CR233" s="18"/>
    </row>
    <row r="234" spans="96:96" x14ac:dyDescent="0.2">
      <c r="CR234" s="18"/>
    </row>
    <row r="235" spans="96:96" x14ac:dyDescent="0.2">
      <c r="CR235" s="18"/>
    </row>
    <row r="236" spans="96:96" x14ac:dyDescent="0.2">
      <c r="CR236" s="18"/>
    </row>
    <row r="237" spans="96:96" x14ac:dyDescent="0.2">
      <c r="CR237" s="18"/>
    </row>
    <row r="238" spans="96:96" x14ac:dyDescent="0.2">
      <c r="CR238" s="18"/>
    </row>
    <row r="239" spans="96:96" x14ac:dyDescent="0.2">
      <c r="CR239" s="18"/>
    </row>
    <row r="240" spans="96:96" x14ac:dyDescent="0.2">
      <c r="CR240" s="18"/>
    </row>
    <row r="241" spans="96:96" x14ac:dyDescent="0.2">
      <c r="CR241" s="18"/>
    </row>
    <row r="242" spans="96:96" x14ac:dyDescent="0.2">
      <c r="CR242" s="18"/>
    </row>
    <row r="243" spans="96:96" x14ac:dyDescent="0.2">
      <c r="CR243" s="18"/>
    </row>
    <row r="244" spans="96:96" x14ac:dyDescent="0.2">
      <c r="CR244" s="18"/>
    </row>
    <row r="245" spans="96:96" x14ac:dyDescent="0.2">
      <c r="CR245" s="18"/>
    </row>
    <row r="246" spans="96:96" x14ac:dyDescent="0.2">
      <c r="CR246" s="18"/>
    </row>
    <row r="247" spans="96:96" x14ac:dyDescent="0.2">
      <c r="CR247" s="18"/>
    </row>
    <row r="248" spans="96:96" x14ac:dyDescent="0.2">
      <c r="CR248" s="18"/>
    </row>
    <row r="249" spans="96:96" x14ac:dyDescent="0.2">
      <c r="CR249" s="18"/>
    </row>
    <row r="250" spans="96:96" x14ac:dyDescent="0.2">
      <c r="CR250" s="18"/>
    </row>
    <row r="251" spans="96:96" x14ac:dyDescent="0.2">
      <c r="CR251" s="18"/>
    </row>
    <row r="252" spans="96:96" x14ac:dyDescent="0.2">
      <c r="CR252" s="18"/>
    </row>
    <row r="253" spans="96:96" x14ac:dyDescent="0.2">
      <c r="CR253" s="18"/>
    </row>
    <row r="254" spans="96:96" x14ac:dyDescent="0.2">
      <c r="CR254" s="18"/>
    </row>
    <row r="255" spans="96:96" x14ac:dyDescent="0.2">
      <c r="CR255" s="18"/>
    </row>
    <row r="256" spans="96:96" x14ac:dyDescent="0.2">
      <c r="CR256" s="18"/>
    </row>
    <row r="257" spans="96:96" x14ac:dyDescent="0.2">
      <c r="CR257" s="18"/>
    </row>
    <row r="258" spans="96:96" x14ac:dyDescent="0.2">
      <c r="CR258" s="18"/>
    </row>
    <row r="259" spans="96:96" x14ac:dyDescent="0.2">
      <c r="CR259" s="18"/>
    </row>
    <row r="260" spans="96:96" x14ac:dyDescent="0.2">
      <c r="CR260" s="18"/>
    </row>
    <row r="261" spans="96:96" x14ac:dyDescent="0.2">
      <c r="CR261" s="18"/>
    </row>
    <row r="262" spans="96:96" x14ac:dyDescent="0.2">
      <c r="CR262" s="18"/>
    </row>
    <row r="263" spans="96:96" x14ac:dyDescent="0.2">
      <c r="CR263" s="18"/>
    </row>
    <row r="264" spans="96:96" x14ac:dyDescent="0.2">
      <c r="CR264" s="18"/>
    </row>
    <row r="265" spans="96:96" x14ac:dyDescent="0.2">
      <c r="CR265" s="18"/>
    </row>
    <row r="266" spans="96:96" x14ac:dyDescent="0.2">
      <c r="CR266" s="18"/>
    </row>
    <row r="267" spans="96:96" x14ac:dyDescent="0.2">
      <c r="CR267" s="18"/>
    </row>
    <row r="268" spans="96:96" x14ac:dyDescent="0.2">
      <c r="CR268" s="18"/>
    </row>
    <row r="269" spans="96:96" x14ac:dyDescent="0.2">
      <c r="CR269" s="18"/>
    </row>
    <row r="270" spans="96:96" x14ac:dyDescent="0.2">
      <c r="CR270" s="18"/>
    </row>
    <row r="271" spans="96:96" x14ac:dyDescent="0.2">
      <c r="CR271" s="18"/>
    </row>
    <row r="272" spans="96:96" x14ac:dyDescent="0.2">
      <c r="CR272" s="18"/>
    </row>
    <row r="273" spans="96:96" x14ac:dyDescent="0.2">
      <c r="CR273" s="18"/>
    </row>
    <row r="274" spans="96:96" x14ac:dyDescent="0.2">
      <c r="CR274" s="18"/>
    </row>
    <row r="275" spans="96:96" x14ac:dyDescent="0.2">
      <c r="CR275" s="18"/>
    </row>
    <row r="276" spans="96:96" x14ac:dyDescent="0.2">
      <c r="CR276" s="18"/>
    </row>
    <row r="277" spans="96:96" x14ac:dyDescent="0.2">
      <c r="CR277" s="18"/>
    </row>
    <row r="278" spans="96:96" x14ac:dyDescent="0.2">
      <c r="CR278" s="18"/>
    </row>
    <row r="279" spans="96:96" x14ac:dyDescent="0.2">
      <c r="CR279" s="18"/>
    </row>
    <row r="280" spans="96:96" x14ac:dyDescent="0.2">
      <c r="CR280" s="18"/>
    </row>
    <row r="281" spans="96:96" x14ac:dyDescent="0.2">
      <c r="CR281" s="18"/>
    </row>
    <row r="282" spans="96:96" x14ac:dyDescent="0.2">
      <c r="CR282" s="18"/>
    </row>
    <row r="283" spans="96:96" x14ac:dyDescent="0.2">
      <c r="CR283" s="18"/>
    </row>
    <row r="284" spans="96:96" x14ac:dyDescent="0.2">
      <c r="CR284" s="18"/>
    </row>
    <row r="285" spans="96:96" x14ac:dyDescent="0.2">
      <c r="CR285" s="18"/>
    </row>
    <row r="286" spans="96:96" x14ac:dyDescent="0.2">
      <c r="CR286" s="18"/>
    </row>
    <row r="287" spans="96:96" x14ac:dyDescent="0.2">
      <c r="CR287" s="18"/>
    </row>
    <row r="288" spans="96:96" x14ac:dyDescent="0.2">
      <c r="CR288" s="18"/>
    </row>
    <row r="289" spans="96:96" x14ac:dyDescent="0.2">
      <c r="CR289" s="18"/>
    </row>
    <row r="290" spans="96:96" x14ac:dyDescent="0.2">
      <c r="CR290" s="18"/>
    </row>
    <row r="291" spans="96:96" x14ac:dyDescent="0.2">
      <c r="CR291" s="18"/>
    </row>
    <row r="292" spans="96:96" x14ac:dyDescent="0.2">
      <c r="CR292" s="18"/>
    </row>
    <row r="293" spans="96:96" x14ac:dyDescent="0.2">
      <c r="CR293" s="18"/>
    </row>
    <row r="294" spans="96:96" x14ac:dyDescent="0.2">
      <c r="CR294" s="18"/>
    </row>
    <row r="295" spans="96:96" x14ac:dyDescent="0.2">
      <c r="CR295" s="18"/>
    </row>
    <row r="296" spans="96:96" x14ac:dyDescent="0.2">
      <c r="CR296" s="18"/>
    </row>
    <row r="297" spans="96:96" x14ac:dyDescent="0.2">
      <c r="CR297" s="18"/>
    </row>
    <row r="298" spans="96:96" x14ac:dyDescent="0.2">
      <c r="CR298" s="18"/>
    </row>
    <row r="299" spans="96:96" x14ac:dyDescent="0.2">
      <c r="CR299" s="18"/>
    </row>
    <row r="300" spans="96:96" x14ac:dyDescent="0.2">
      <c r="CR300" s="18"/>
    </row>
    <row r="301" spans="96:96" x14ac:dyDescent="0.2">
      <c r="CR301" s="18"/>
    </row>
    <row r="302" spans="96:96" x14ac:dyDescent="0.2">
      <c r="CR302" s="18"/>
    </row>
    <row r="303" spans="96:96" x14ac:dyDescent="0.2">
      <c r="CR303" s="18"/>
    </row>
    <row r="304" spans="96:96" x14ac:dyDescent="0.2">
      <c r="CR304" s="18"/>
    </row>
    <row r="305" spans="96:96" x14ac:dyDescent="0.2">
      <c r="CR305" s="18"/>
    </row>
    <row r="306" spans="96:96" x14ac:dyDescent="0.2">
      <c r="CR306" s="18"/>
    </row>
    <row r="307" spans="96:96" x14ac:dyDescent="0.2">
      <c r="CR307" s="18"/>
    </row>
    <row r="308" spans="96:96" x14ac:dyDescent="0.2">
      <c r="CR308" s="18"/>
    </row>
    <row r="309" spans="96:96" x14ac:dyDescent="0.2">
      <c r="CR309" s="18"/>
    </row>
    <row r="310" spans="96:96" x14ac:dyDescent="0.2">
      <c r="CR310" s="18"/>
    </row>
    <row r="311" spans="96:96" x14ac:dyDescent="0.2">
      <c r="CR311" s="18"/>
    </row>
    <row r="312" spans="96:96" x14ac:dyDescent="0.2">
      <c r="CR312" s="18"/>
    </row>
    <row r="313" spans="96:96" x14ac:dyDescent="0.2">
      <c r="CR313" s="18"/>
    </row>
    <row r="314" spans="96:96" x14ac:dyDescent="0.2">
      <c r="CR314" s="18"/>
    </row>
    <row r="315" spans="96:96" x14ac:dyDescent="0.2">
      <c r="CR315" s="18"/>
    </row>
    <row r="316" spans="96:96" x14ac:dyDescent="0.2">
      <c r="CR316" s="18"/>
    </row>
    <row r="317" spans="96:96" x14ac:dyDescent="0.2">
      <c r="CR317" s="18"/>
    </row>
    <row r="318" spans="96:96" x14ac:dyDescent="0.2">
      <c r="CR318" s="18"/>
    </row>
    <row r="319" spans="96:96" x14ac:dyDescent="0.2">
      <c r="CR319" s="18"/>
    </row>
    <row r="320" spans="96:96" x14ac:dyDescent="0.2">
      <c r="CR320" s="18"/>
    </row>
    <row r="321" spans="96:96" x14ac:dyDescent="0.2">
      <c r="CR321" s="18"/>
    </row>
    <row r="322" spans="96:96" x14ac:dyDescent="0.2">
      <c r="CR322" s="18"/>
    </row>
    <row r="323" spans="96:96" x14ac:dyDescent="0.2">
      <c r="CR323" s="18"/>
    </row>
    <row r="324" spans="96:96" x14ac:dyDescent="0.2">
      <c r="CR324" s="18"/>
    </row>
    <row r="325" spans="96:96" x14ac:dyDescent="0.2">
      <c r="CR325" s="18"/>
    </row>
    <row r="326" spans="96:96" x14ac:dyDescent="0.2">
      <c r="CR326" s="18"/>
    </row>
    <row r="327" spans="96:96" x14ac:dyDescent="0.2">
      <c r="CR327" s="18"/>
    </row>
    <row r="328" spans="96:96" x14ac:dyDescent="0.2">
      <c r="CR328" s="18"/>
    </row>
    <row r="329" spans="96:96" x14ac:dyDescent="0.2">
      <c r="CR329" s="18"/>
    </row>
    <row r="330" spans="96:96" x14ac:dyDescent="0.2">
      <c r="CR330" s="18"/>
    </row>
    <row r="331" spans="96:96" x14ac:dyDescent="0.2">
      <c r="CR331" s="18"/>
    </row>
    <row r="332" spans="96:96" x14ac:dyDescent="0.2">
      <c r="CR332" s="18"/>
    </row>
    <row r="333" spans="96:96" x14ac:dyDescent="0.2">
      <c r="CR333" s="18"/>
    </row>
    <row r="334" spans="96:96" x14ac:dyDescent="0.2">
      <c r="CR334" s="18"/>
    </row>
    <row r="335" spans="96:96" x14ac:dyDescent="0.2">
      <c r="CR335" s="18"/>
    </row>
    <row r="336" spans="96:96" x14ac:dyDescent="0.2">
      <c r="CR336" s="18"/>
    </row>
    <row r="337" spans="96:96" x14ac:dyDescent="0.2">
      <c r="CR337" s="18"/>
    </row>
    <row r="338" spans="96:96" x14ac:dyDescent="0.2">
      <c r="CR338" s="18"/>
    </row>
    <row r="339" spans="96:96" x14ac:dyDescent="0.2">
      <c r="CR339" s="18"/>
    </row>
    <row r="340" spans="96:96" x14ac:dyDescent="0.2">
      <c r="CR340" s="18"/>
    </row>
    <row r="341" spans="96:96" x14ac:dyDescent="0.2">
      <c r="CR341" s="18"/>
    </row>
    <row r="342" spans="96:96" x14ac:dyDescent="0.2">
      <c r="CR342" s="18"/>
    </row>
    <row r="343" spans="96:96" x14ac:dyDescent="0.2">
      <c r="CR343" s="18"/>
    </row>
    <row r="344" spans="96:96" x14ac:dyDescent="0.2">
      <c r="CR344" s="18"/>
    </row>
    <row r="345" spans="96:96" x14ac:dyDescent="0.2">
      <c r="CR345" s="18"/>
    </row>
    <row r="346" spans="96:96" x14ac:dyDescent="0.2">
      <c r="CR346" s="18"/>
    </row>
    <row r="347" spans="96:96" x14ac:dyDescent="0.2">
      <c r="CR347" s="18"/>
    </row>
    <row r="348" spans="96:96" x14ac:dyDescent="0.2">
      <c r="CR348" s="18"/>
    </row>
    <row r="349" spans="96:96" x14ac:dyDescent="0.2">
      <c r="CR349" s="18"/>
    </row>
    <row r="350" spans="96:96" x14ac:dyDescent="0.2">
      <c r="CR350" s="18"/>
    </row>
    <row r="351" spans="96:96" x14ac:dyDescent="0.2">
      <c r="CR351" s="18"/>
    </row>
    <row r="352" spans="96:96" x14ac:dyDescent="0.2">
      <c r="CR352" s="18"/>
    </row>
    <row r="353" spans="96:96" x14ac:dyDescent="0.2">
      <c r="CR353" s="18"/>
    </row>
    <row r="354" spans="96:96" x14ac:dyDescent="0.2">
      <c r="CR354" s="18"/>
    </row>
    <row r="355" spans="96:96" x14ac:dyDescent="0.2">
      <c r="CR355" s="18"/>
    </row>
    <row r="356" spans="96:96" x14ac:dyDescent="0.2">
      <c r="CR356" s="18"/>
    </row>
    <row r="357" spans="96:96" x14ac:dyDescent="0.2">
      <c r="CR357" s="18"/>
    </row>
    <row r="358" spans="96:96" x14ac:dyDescent="0.2">
      <c r="CR358" s="18"/>
    </row>
    <row r="359" spans="96:96" x14ac:dyDescent="0.2">
      <c r="CR359" s="18"/>
    </row>
    <row r="360" spans="96:96" x14ac:dyDescent="0.2">
      <c r="CR360" s="18"/>
    </row>
    <row r="361" spans="96:96" x14ac:dyDescent="0.2">
      <c r="CR361" s="18"/>
    </row>
    <row r="362" spans="96:96" x14ac:dyDescent="0.2">
      <c r="CR362" s="18"/>
    </row>
    <row r="363" spans="96:96" x14ac:dyDescent="0.2">
      <c r="CR363" s="18"/>
    </row>
    <row r="364" spans="96:96" x14ac:dyDescent="0.2">
      <c r="CR364" s="18"/>
    </row>
    <row r="365" spans="96:96" x14ac:dyDescent="0.2">
      <c r="CR365" s="18"/>
    </row>
    <row r="366" spans="96:96" x14ac:dyDescent="0.2">
      <c r="CR366" s="18"/>
    </row>
    <row r="367" spans="96:96" x14ac:dyDescent="0.2">
      <c r="CR367" s="18"/>
    </row>
    <row r="368" spans="96:96" x14ac:dyDescent="0.2">
      <c r="CR368" s="18"/>
    </row>
    <row r="369" spans="96:96" x14ac:dyDescent="0.2">
      <c r="CR369" s="18"/>
    </row>
    <row r="370" spans="96:96" x14ac:dyDescent="0.2">
      <c r="CR370" s="18"/>
    </row>
    <row r="371" spans="96:96" x14ac:dyDescent="0.2">
      <c r="CR371" s="18"/>
    </row>
    <row r="372" spans="96:96" x14ac:dyDescent="0.2">
      <c r="CR372" s="18"/>
    </row>
    <row r="373" spans="96:96" x14ac:dyDescent="0.2">
      <c r="CR373" s="18"/>
    </row>
    <row r="374" spans="96:96" x14ac:dyDescent="0.2">
      <c r="CR374" s="18"/>
    </row>
    <row r="375" spans="96:96" x14ac:dyDescent="0.2">
      <c r="CR375" s="18"/>
    </row>
    <row r="376" spans="96:96" x14ac:dyDescent="0.2">
      <c r="CR376" s="18"/>
    </row>
    <row r="377" spans="96:96" x14ac:dyDescent="0.2">
      <c r="CR377" s="18"/>
    </row>
    <row r="378" spans="96:96" x14ac:dyDescent="0.2">
      <c r="CR378" s="18"/>
    </row>
    <row r="65250" spans="96:96" x14ac:dyDescent="0.2">
      <c r="CR65250" s="22" t="e">
        <f>#REF!</f>
        <v>#REF!</v>
      </c>
    </row>
    <row r="65251" spans="96:96" x14ac:dyDescent="0.2">
      <c r="CR65251" s="22" t="e">
        <f>#REF!</f>
        <v>#REF!</v>
      </c>
    </row>
    <row r="65252" spans="96:96" x14ac:dyDescent="0.2">
      <c r="CR65252" s="22" t="e">
        <f>#REF!</f>
        <v>#REF!</v>
      </c>
    </row>
    <row r="65253" spans="96:96" x14ac:dyDescent="0.2">
      <c r="CR65253" s="22" t="e">
        <f>#REF!</f>
        <v>#REF!</v>
      </c>
    </row>
    <row r="65254" spans="96:96" x14ac:dyDescent="0.2">
      <c r="CR65254" s="22" t="e">
        <f>#REF!</f>
        <v>#REF!</v>
      </c>
    </row>
  </sheetData>
  <sheetProtection password="CBEB" objects="1"/>
  <mergeCells count="190">
    <mergeCell ref="A16:B16"/>
    <mergeCell ref="F16:H16"/>
    <mergeCell ref="L16:P16"/>
    <mergeCell ref="R16:S16"/>
    <mergeCell ref="W16:Y16"/>
    <mergeCell ref="AC16:AG16"/>
    <mergeCell ref="A15:B15"/>
    <mergeCell ref="F15:H15"/>
    <mergeCell ref="L15:P15"/>
    <mergeCell ref="R15:S15"/>
    <mergeCell ref="W15:Y15"/>
    <mergeCell ref="AC15:AG15"/>
    <mergeCell ref="AC12:AG12"/>
    <mergeCell ref="A11:B11"/>
    <mergeCell ref="F11:H11"/>
    <mergeCell ref="L11:P11"/>
    <mergeCell ref="R11:S11"/>
    <mergeCell ref="W11:Y11"/>
    <mergeCell ref="AC11:AG11"/>
    <mergeCell ref="A14:B14"/>
    <mergeCell ref="F14:H14"/>
    <mergeCell ref="L14:P14"/>
    <mergeCell ref="R14:S14"/>
    <mergeCell ref="W14:Y14"/>
    <mergeCell ref="AC14:AG14"/>
    <mergeCell ref="A13:B13"/>
    <mergeCell ref="F13:H13"/>
    <mergeCell ref="L13:P13"/>
    <mergeCell ref="R13:S13"/>
    <mergeCell ref="W13:Y13"/>
    <mergeCell ref="AC13:AG13"/>
    <mergeCell ref="A7:B7"/>
    <mergeCell ref="J7:K7"/>
    <mergeCell ref="R7:S7"/>
    <mergeCell ref="AA7:AB7"/>
    <mergeCell ref="A8:B8"/>
    <mergeCell ref="J8:K8"/>
    <mergeCell ref="R8:S8"/>
    <mergeCell ref="AA8:AB8"/>
    <mergeCell ref="A12:B12"/>
    <mergeCell ref="F12:H12"/>
    <mergeCell ref="L12:P12"/>
    <mergeCell ref="R12:S12"/>
    <mergeCell ref="W12:Y12"/>
    <mergeCell ref="R3:AG3"/>
    <mergeCell ref="J4:K4"/>
    <mergeCell ref="L4:N4"/>
    <mergeCell ref="AA4:AB4"/>
    <mergeCell ref="AC4:AE4"/>
    <mergeCell ref="I10:K10"/>
    <mergeCell ref="L10:P10"/>
    <mergeCell ref="Z10:AB10"/>
    <mergeCell ref="AC10:AG10"/>
    <mergeCell ref="A47:B47"/>
    <mergeCell ref="F47:H47"/>
    <mergeCell ref="L47:P47"/>
    <mergeCell ref="R47:S47"/>
    <mergeCell ref="W47:Y47"/>
    <mergeCell ref="AC47:AG47"/>
    <mergeCell ref="A46:B46"/>
    <mergeCell ref="F46:H46"/>
    <mergeCell ref="L46:P46"/>
    <mergeCell ref="R46:S46"/>
    <mergeCell ref="W46:Y46"/>
    <mergeCell ref="AC46:AG46"/>
    <mergeCell ref="A45:B45"/>
    <mergeCell ref="F45:H45"/>
    <mergeCell ref="L45:P45"/>
    <mergeCell ref="R45:S45"/>
    <mergeCell ref="W45:Y45"/>
    <mergeCell ref="AC45:AG45"/>
    <mergeCell ref="A44:B44"/>
    <mergeCell ref="F44:H44"/>
    <mergeCell ref="L44:P44"/>
    <mergeCell ref="R44:S44"/>
    <mergeCell ref="W44:Y44"/>
    <mergeCell ref="AC44:AG44"/>
    <mergeCell ref="A43:B43"/>
    <mergeCell ref="F43:H43"/>
    <mergeCell ref="L43:P43"/>
    <mergeCell ref="R43:S43"/>
    <mergeCell ref="W43:Y43"/>
    <mergeCell ref="AC43:AG43"/>
    <mergeCell ref="A42:B42"/>
    <mergeCell ref="F42:H42"/>
    <mergeCell ref="L42:P42"/>
    <mergeCell ref="R42:S42"/>
    <mergeCell ref="W42:Y42"/>
    <mergeCell ref="AC42:AG42"/>
    <mergeCell ref="A41:B41"/>
    <mergeCell ref="I41:K41"/>
    <mergeCell ref="L41:P41"/>
    <mergeCell ref="R41:S41"/>
    <mergeCell ref="Z41:AB41"/>
    <mergeCell ref="AC41:AG41"/>
    <mergeCell ref="A38:B38"/>
    <mergeCell ref="J38:K38"/>
    <mergeCell ref="R38:S38"/>
    <mergeCell ref="AA38:AB38"/>
    <mergeCell ref="A39:B39"/>
    <mergeCell ref="J39:K39"/>
    <mergeCell ref="R39:S39"/>
    <mergeCell ref="AA39:AB39"/>
    <mergeCell ref="A36:B36"/>
    <mergeCell ref="J36:K36"/>
    <mergeCell ref="R36:S36"/>
    <mergeCell ref="AA36:AB36"/>
    <mergeCell ref="A37:B37"/>
    <mergeCell ref="J37:K37"/>
    <mergeCell ref="R37:S37"/>
    <mergeCell ref="AA37:AB37"/>
    <mergeCell ref="A32:AG32"/>
    <mergeCell ref="A34:P34"/>
    <mergeCell ref="R34:AG34"/>
    <mergeCell ref="J35:K35"/>
    <mergeCell ref="L35:N35"/>
    <mergeCell ref="AA35:AB35"/>
    <mergeCell ref="AC35:AE35"/>
    <mergeCell ref="A31:B31"/>
    <mergeCell ref="F31:H31"/>
    <mergeCell ref="L31:P31"/>
    <mergeCell ref="R31:S31"/>
    <mergeCell ref="W31:Y31"/>
    <mergeCell ref="AC31:AG31"/>
    <mergeCell ref="A30:B30"/>
    <mergeCell ref="F30:H30"/>
    <mergeCell ref="L30:P30"/>
    <mergeCell ref="R30:S30"/>
    <mergeCell ref="W30:Y30"/>
    <mergeCell ref="AC30:AG30"/>
    <mergeCell ref="A29:B29"/>
    <mergeCell ref="F29:H29"/>
    <mergeCell ref="L29:P29"/>
    <mergeCell ref="R29:S29"/>
    <mergeCell ref="W29:Y29"/>
    <mergeCell ref="AC29:AG29"/>
    <mergeCell ref="A28:B28"/>
    <mergeCell ref="F28:H28"/>
    <mergeCell ref="L28:P28"/>
    <mergeCell ref="R28:S28"/>
    <mergeCell ref="W28:Y28"/>
    <mergeCell ref="AC28:AG28"/>
    <mergeCell ref="A27:B27"/>
    <mergeCell ref="F27:H27"/>
    <mergeCell ref="L27:P27"/>
    <mergeCell ref="R27:S27"/>
    <mergeCell ref="W27:Y27"/>
    <mergeCell ref="AC27:AG27"/>
    <mergeCell ref="A26:B26"/>
    <mergeCell ref="F26:H26"/>
    <mergeCell ref="L26:P26"/>
    <mergeCell ref="R26:S26"/>
    <mergeCell ref="W26:Y26"/>
    <mergeCell ref="AC26:AG26"/>
    <mergeCell ref="I25:K25"/>
    <mergeCell ref="L25:P25"/>
    <mergeCell ref="Z25:AB25"/>
    <mergeCell ref="AC25:AG25"/>
    <mergeCell ref="A22:B22"/>
    <mergeCell ref="J22:K22"/>
    <mergeCell ref="R22:S22"/>
    <mergeCell ref="AA22:AB22"/>
    <mergeCell ref="A23:B23"/>
    <mergeCell ref="J23:K23"/>
    <mergeCell ref="R23:S23"/>
    <mergeCell ref="AA23:AB23"/>
    <mergeCell ref="A1:AG1"/>
    <mergeCell ref="A20:B20"/>
    <mergeCell ref="J20:K20"/>
    <mergeCell ref="R20:S20"/>
    <mergeCell ref="AA20:AB20"/>
    <mergeCell ref="A21:B21"/>
    <mergeCell ref="J21:K21"/>
    <mergeCell ref="R21:S21"/>
    <mergeCell ref="AA21:AB21"/>
    <mergeCell ref="A18:P18"/>
    <mergeCell ref="R18:AG18"/>
    <mergeCell ref="J19:K19"/>
    <mergeCell ref="L19:N19"/>
    <mergeCell ref="AA19:AB19"/>
    <mergeCell ref="AC19:AE19"/>
    <mergeCell ref="A5:B5"/>
    <mergeCell ref="J5:K5"/>
    <mergeCell ref="R5:S5"/>
    <mergeCell ref="AA5:AB5"/>
    <mergeCell ref="A6:B6"/>
    <mergeCell ref="J6:K6"/>
    <mergeCell ref="R6:S6"/>
    <mergeCell ref="AA6:AB6"/>
    <mergeCell ref="A3:P3"/>
  </mergeCells>
  <pageMargins left="0.35433070866141736" right="0.19685039370078741" top="0.2" bottom="0.19685039370078741" header="0.2" footer="0"/>
  <pageSetup paperSize="9" scale="139" fitToWidth="2" fitToHeight="2" orientation="landscape" horizontalDpi="360" r:id="rId1"/>
  <headerFooter alignWithMargins="0"/>
  <rowBreaks count="1" manualBreakCount="1">
    <brk id="31" max="32" man="1"/>
  </rowBreaks>
  <colBreaks count="1" manualBreakCount="1">
    <brk id="42" max="60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65254"/>
  <sheetViews>
    <sheetView view="pageBreakPreview" zoomScale="110" zoomScaleNormal="75" zoomScaleSheetLayoutView="110" workbookViewId="0">
      <selection activeCell="D11" sqref="D11"/>
    </sheetView>
  </sheetViews>
  <sheetFormatPr defaultRowHeight="12.75" x14ac:dyDescent="0.2"/>
  <cols>
    <col min="1" max="1" width="3" style="23" bestFit="1" customWidth="1"/>
    <col min="2" max="2" width="1" style="23" customWidth="1"/>
    <col min="3" max="3" width="1.5703125" style="23" customWidth="1"/>
    <col min="4" max="4" width="12.85546875" style="23" customWidth="1"/>
    <col min="5" max="5" width="1.42578125" style="23" bestFit="1" customWidth="1"/>
    <col min="6" max="6" width="6.7109375" style="23" customWidth="1"/>
    <col min="7" max="9" width="2.7109375" style="23" customWidth="1"/>
    <col min="10" max="10" width="0.85546875" style="23" customWidth="1"/>
    <col min="11" max="11" width="2.28515625" style="23" customWidth="1"/>
    <col min="12" max="12" width="2.7109375" style="23" customWidth="1"/>
    <col min="13" max="13" width="0.85546875" style="23" customWidth="1"/>
    <col min="14" max="16" width="2.7109375" style="23" customWidth="1"/>
    <col min="17" max="17" width="1.42578125" style="23" customWidth="1"/>
    <col min="18" max="18" width="3" style="23" bestFit="1" customWidth="1"/>
    <col min="19" max="19" width="1" style="23" customWidth="1"/>
    <col min="20" max="20" width="1.5703125" style="23" customWidth="1"/>
    <col min="21" max="21" width="12.85546875" style="23" customWidth="1"/>
    <col min="22" max="22" width="1.42578125" style="23" bestFit="1" customWidth="1"/>
    <col min="23" max="23" width="6.7109375" style="23" customWidth="1"/>
    <col min="24" max="26" width="2.7109375" style="23" customWidth="1"/>
    <col min="27" max="27" width="0.85546875" style="23" customWidth="1"/>
    <col min="28" max="28" width="2.28515625" style="23" customWidth="1"/>
    <col min="29" max="29" width="2.140625" style="23" customWidth="1"/>
    <col min="30" max="30" width="0.85546875" style="23" customWidth="1"/>
    <col min="31" max="33" width="2.7109375" style="23" customWidth="1"/>
    <col min="34" max="34" width="3.7109375" style="61" hidden="1" customWidth="1"/>
    <col min="35" max="35" width="12.42578125" style="58" hidden="1" customWidth="1"/>
    <col min="36" max="36" width="3" style="62" hidden="1" customWidth="1"/>
    <col min="37" max="37" width="3" style="58" hidden="1" customWidth="1"/>
    <col min="38" max="38" width="9.42578125" style="58" hidden="1" customWidth="1"/>
    <col min="39" max="39" width="2.85546875" style="49" hidden="1" customWidth="1"/>
    <col min="40" max="40" width="4.28515625" style="16" hidden="1" customWidth="1"/>
    <col min="41" max="41" width="15.42578125" style="16" hidden="1" customWidth="1"/>
    <col min="42" max="42" width="9.140625" style="16" hidden="1" customWidth="1"/>
    <col min="43" max="43" width="7" style="16" hidden="1" customWidth="1"/>
    <col min="44" max="44" width="6.140625" style="16" hidden="1" customWidth="1"/>
    <col min="45" max="46" width="9.140625" style="16" hidden="1" customWidth="1"/>
    <col min="47" max="47" width="2.85546875" style="16" hidden="1" customWidth="1"/>
    <col min="48" max="48" width="2" style="16" hidden="1" customWidth="1"/>
    <col min="49" max="49" width="2.28515625" style="16" hidden="1" customWidth="1"/>
    <col min="50" max="50" width="2.140625" style="16" hidden="1" customWidth="1"/>
    <col min="51" max="51" width="2.28515625" style="16" hidden="1" customWidth="1"/>
    <col min="52" max="52" width="3.7109375" style="16" hidden="1" customWidth="1"/>
    <col min="53" max="53" width="6.28515625" style="16" hidden="1" customWidth="1"/>
    <col min="54" max="95" width="9.140625" style="16" hidden="1" customWidth="1"/>
    <col min="96" max="96" width="10.28515625" style="16" hidden="1" customWidth="1"/>
    <col min="97" max="101" width="9.140625" style="16" hidden="1" customWidth="1"/>
    <col min="102" max="116" width="9.140625" style="16" customWidth="1"/>
    <col min="117" max="16384" width="9.140625" style="16"/>
  </cols>
  <sheetData>
    <row r="1" spans="1:133" ht="33.75" x14ac:dyDescent="0.5">
      <c r="A1" s="521" t="s">
        <v>234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7"/>
      <c r="AJ1" s="59"/>
      <c r="AK1" s="60"/>
      <c r="AL1" s="60"/>
      <c r="AM1" s="53"/>
      <c r="AN1" s="17"/>
      <c r="AO1" s="17"/>
      <c r="AP1" s="17"/>
      <c r="AQ1" s="17"/>
    </row>
    <row r="2" spans="1:133" ht="13.5" customHeight="1" x14ac:dyDescent="0.2">
      <c r="A2" s="260"/>
      <c r="B2" s="260"/>
      <c r="C2" s="260"/>
      <c r="D2" s="260"/>
      <c r="E2" s="260"/>
      <c r="F2" s="260"/>
      <c r="G2" s="260"/>
      <c r="H2" s="271"/>
      <c r="I2" s="260"/>
      <c r="J2" s="260"/>
      <c r="K2" s="260"/>
      <c r="L2" s="260"/>
      <c r="M2" s="260"/>
      <c r="N2" s="260"/>
      <c r="O2" s="260"/>
      <c r="P2" s="260"/>
      <c r="Q2" s="260"/>
      <c r="R2" s="261"/>
      <c r="S2" s="261"/>
      <c r="T2" s="261"/>
      <c r="U2" s="261"/>
      <c r="V2" s="261"/>
      <c r="W2" s="261"/>
      <c r="X2" s="261"/>
      <c r="Y2" s="270"/>
      <c r="Z2" s="261"/>
      <c r="AA2" s="261"/>
      <c r="AB2" s="261"/>
      <c r="AC2" s="261"/>
      <c r="AD2" s="261"/>
      <c r="AE2" s="261"/>
      <c r="AF2" s="261"/>
      <c r="AG2" s="261"/>
    </row>
    <row r="3" spans="1:133" ht="18.75" customHeight="1" x14ac:dyDescent="0.25">
      <c r="A3" s="536" t="s">
        <v>235</v>
      </c>
      <c r="B3" s="534"/>
      <c r="C3" s="534"/>
      <c r="D3" s="534"/>
      <c r="E3" s="534"/>
      <c r="F3" s="534"/>
      <c r="G3" s="534"/>
      <c r="H3" s="534"/>
      <c r="I3" s="534"/>
      <c r="J3" s="534"/>
      <c r="K3" s="534"/>
      <c r="L3" s="534"/>
      <c r="M3" s="534"/>
      <c r="N3" s="534"/>
      <c r="O3" s="534"/>
      <c r="P3" s="535"/>
      <c r="Q3" s="262"/>
      <c r="R3" s="560" t="s">
        <v>232</v>
      </c>
      <c r="S3" s="560"/>
      <c r="T3" s="560"/>
      <c r="U3" s="560"/>
      <c r="V3" s="560"/>
      <c r="W3" s="560"/>
      <c r="X3" s="560"/>
      <c r="Y3" s="560"/>
      <c r="Z3" s="560"/>
      <c r="AA3" s="560"/>
      <c r="AB3" s="560"/>
      <c r="AC3" s="560"/>
      <c r="AD3" s="560"/>
      <c r="AE3" s="560"/>
      <c r="AF3" s="560"/>
      <c r="AG3" s="560"/>
      <c r="AH3" s="63"/>
      <c r="AI3" s="64"/>
      <c r="AM3" s="48"/>
      <c r="AO3" s="16" t="s">
        <v>97</v>
      </c>
      <c r="AP3" s="16" t="s">
        <v>98</v>
      </c>
      <c r="AS3" s="16" t="s">
        <v>99</v>
      </c>
      <c r="BB3" s="16" t="s">
        <v>100</v>
      </c>
      <c r="BD3" s="16" t="s">
        <v>101</v>
      </c>
      <c r="BF3" s="16" t="s">
        <v>102</v>
      </c>
      <c r="BI3" s="16" t="s">
        <v>103</v>
      </c>
      <c r="BL3" s="16" t="s">
        <v>104</v>
      </c>
      <c r="BO3" s="16" t="s">
        <v>105</v>
      </c>
      <c r="BS3" s="16" t="s">
        <v>106</v>
      </c>
      <c r="BW3" s="16" t="s">
        <v>107</v>
      </c>
      <c r="CA3" s="16" t="s">
        <v>108</v>
      </c>
    </row>
    <row r="4" spans="1:133" ht="12.95" customHeight="1" x14ac:dyDescent="0.2">
      <c r="A4" s="25"/>
      <c r="B4" s="26"/>
      <c r="C4" s="26"/>
      <c r="D4" s="26"/>
      <c r="E4" s="26"/>
      <c r="F4" s="26"/>
      <c r="G4" s="340" t="s">
        <v>109</v>
      </c>
      <c r="H4" s="340" t="s">
        <v>110</v>
      </c>
      <c r="I4" s="340" t="s">
        <v>111</v>
      </c>
      <c r="J4" s="531" t="s">
        <v>112</v>
      </c>
      <c r="K4" s="531"/>
      <c r="L4" s="531" t="s">
        <v>113</v>
      </c>
      <c r="M4" s="531"/>
      <c r="N4" s="531"/>
      <c r="O4" s="340" t="str">
        <f>T("+/-")</f>
        <v>+/-</v>
      </c>
      <c r="P4" s="31" t="s">
        <v>114</v>
      </c>
      <c r="Q4" s="266"/>
      <c r="R4" s="291"/>
      <c r="S4" s="291"/>
      <c r="T4" s="291"/>
      <c r="U4" s="291"/>
      <c r="V4" s="291"/>
      <c r="W4" s="291"/>
      <c r="X4" s="350" t="s">
        <v>131</v>
      </c>
      <c r="Y4" s="350" t="s">
        <v>110</v>
      </c>
      <c r="Z4" s="350" t="s">
        <v>111</v>
      </c>
      <c r="AA4" s="556" t="s">
        <v>112</v>
      </c>
      <c r="AB4" s="556"/>
      <c r="AC4" s="556" t="s">
        <v>113</v>
      </c>
      <c r="AD4" s="556"/>
      <c r="AE4" s="556"/>
      <c r="AF4" s="350" t="str">
        <f>T("+/-")</f>
        <v>+/-</v>
      </c>
      <c r="AG4" s="350" t="s">
        <v>236</v>
      </c>
      <c r="AH4" s="65"/>
      <c r="AI4" s="66"/>
      <c r="AJ4" s="67"/>
      <c r="AK4" s="66"/>
      <c r="AL4" s="66"/>
      <c r="AM4" s="47"/>
      <c r="AN4" s="37"/>
    </row>
    <row r="5" spans="1:133" ht="12.95" customHeight="1" x14ac:dyDescent="0.2">
      <c r="A5" s="516" t="s">
        <v>186</v>
      </c>
      <c r="B5" s="517"/>
      <c r="C5" s="118" t="e">
        <f>CH8</f>
        <v>#REF!</v>
      </c>
      <c r="D5" s="118"/>
      <c r="E5" s="118"/>
      <c r="F5" s="118"/>
      <c r="G5" s="334" t="e">
        <f t="shared" ref="G5:H8" si="0">CI8</f>
        <v>#REF!</v>
      </c>
      <c r="H5" s="334" t="e">
        <f t="shared" si="0"/>
        <v>#REF!</v>
      </c>
      <c r="I5" s="334" t="e">
        <f>CL8</f>
        <v>#REF!</v>
      </c>
      <c r="J5" s="513" t="e">
        <f>CK8</f>
        <v>#REF!</v>
      </c>
      <c r="K5" s="513"/>
      <c r="L5" s="167" t="e">
        <f>CM8</f>
        <v>#REF!</v>
      </c>
      <c r="M5" s="334" t="s">
        <v>16</v>
      </c>
      <c r="N5" s="282" t="e">
        <f t="shared" ref="N5:O8" si="1">CN8</f>
        <v>#REF!</v>
      </c>
      <c r="O5" s="334" t="e">
        <f t="shared" si="1"/>
        <v>#REF!</v>
      </c>
      <c r="P5" s="306" t="e">
        <f>SUM(H5*3+I5*1)</f>
        <v>#REF!</v>
      </c>
      <c r="Q5" s="167"/>
      <c r="R5" s="570" t="s">
        <v>237</v>
      </c>
      <c r="S5" s="570"/>
      <c r="T5" s="289" t="e">
        <f>CH15</f>
        <v>#REF!</v>
      </c>
      <c r="U5" s="289"/>
      <c r="V5" s="289"/>
      <c r="W5" s="289"/>
      <c r="X5" s="357" t="e">
        <f t="shared" ref="X5:Y8" si="2">CI15</f>
        <v>#REF!</v>
      </c>
      <c r="Y5" s="357" t="e">
        <f t="shared" si="2"/>
        <v>#REF!</v>
      </c>
      <c r="Z5" s="290" t="e">
        <f>CL15</f>
        <v>#REF!</v>
      </c>
      <c r="AA5" s="568" t="e">
        <f>CK15</f>
        <v>#REF!</v>
      </c>
      <c r="AB5" s="568"/>
      <c r="AC5" s="295" t="e">
        <f>CM15</f>
        <v>#REF!</v>
      </c>
      <c r="AD5" s="290" t="s">
        <v>16</v>
      </c>
      <c r="AE5" s="296" t="e">
        <f t="shared" ref="AE5:AF8" si="3">CN15</f>
        <v>#REF!</v>
      </c>
      <c r="AF5" s="357" t="e">
        <f t="shared" si="3"/>
        <v>#REF!</v>
      </c>
      <c r="AG5" s="290" t="e">
        <f>SUM(Y5*3+Z5*1)</f>
        <v>#REF!</v>
      </c>
      <c r="AH5" s="63"/>
      <c r="AI5" s="68"/>
      <c r="AJ5" s="67"/>
      <c r="AK5" s="68"/>
      <c r="AL5" s="68"/>
      <c r="AM5" s="48"/>
      <c r="AN5" s="38"/>
      <c r="CR5" s="19"/>
    </row>
    <row r="6" spans="1:133" ht="12.95" customHeight="1" thickBot="1" x14ac:dyDescent="0.25">
      <c r="A6" s="516" t="s">
        <v>192</v>
      </c>
      <c r="B6" s="517"/>
      <c r="C6" s="118" t="e">
        <f>CH9</f>
        <v>#REF!</v>
      </c>
      <c r="D6" s="118"/>
      <c r="E6" s="118"/>
      <c r="F6" s="118"/>
      <c r="G6" s="334" t="e">
        <f t="shared" si="0"/>
        <v>#REF!</v>
      </c>
      <c r="H6" s="334" t="e">
        <f t="shared" si="0"/>
        <v>#REF!</v>
      </c>
      <c r="I6" s="334" t="e">
        <f>CL9</f>
        <v>#REF!</v>
      </c>
      <c r="J6" s="513" t="e">
        <f>CK9</f>
        <v>#REF!</v>
      </c>
      <c r="K6" s="513"/>
      <c r="L6" s="167" t="e">
        <f>CM9</f>
        <v>#REF!</v>
      </c>
      <c r="M6" s="334" t="s">
        <v>16</v>
      </c>
      <c r="N6" s="282" t="e">
        <f t="shared" si="1"/>
        <v>#REF!</v>
      </c>
      <c r="O6" s="334" t="e">
        <f t="shared" si="1"/>
        <v>#REF!</v>
      </c>
      <c r="P6" s="306" t="e">
        <f>SUM(H6*3+I6*1)</f>
        <v>#REF!</v>
      </c>
      <c r="Q6" s="167"/>
      <c r="R6" s="570" t="s">
        <v>238</v>
      </c>
      <c r="S6" s="570"/>
      <c r="T6" s="289" t="e">
        <f>CH16</f>
        <v>#REF!</v>
      </c>
      <c r="U6" s="289"/>
      <c r="V6" s="289"/>
      <c r="W6" s="289"/>
      <c r="X6" s="357" t="e">
        <f t="shared" si="2"/>
        <v>#REF!</v>
      </c>
      <c r="Y6" s="357" t="e">
        <f t="shared" si="2"/>
        <v>#REF!</v>
      </c>
      <c r="Z6" s="290" t="e">
        <f>CL16</f>
        <v>#REF!</v>
      </c>
      <c r="AA6" s="568" t="e">
        <f>CK16</f>
        <v>#REF!</v>
      </c>
      <c r="AB6" s="568"/>
      <c r="AC6" s="295" t="e">
        <f>CM16</f>
        <v>#REF!</v>
      </c>
      <c r="AD6" s="290" t="s">
        <v>16</v>
      </c>
      <c r="AE6" s="296" t="e">
        <f t="shared" si="3"/>
        <v>#REF!</v>
      </c>
      <c r="AF6" s="357" t="e">
        <f t="shared" si="3"/>
        <v>#REF!</v>
      </c>
      <c r="AG6" s="290" t="e">
        <f>SUM(Y6*3+Z6*1)</f>
        <v>#REF!</v>
      </c>
      <c r="AS6" s="16" t="s">
        <v>117</v>
      </c>
      <c r="CR6" s="19"/>
    </row>
    <row r="7" spans="1:133" ht="12.95" customHeight="1" thickBot="1" x14ac:dyDescent="0.25">
      <c r="A7" s="516" t="s">
        <v>197</v>
      </c>
      <c r="B7" s="517"/>
      <c r="C7" s="118" t="e">
        <f>CH10</f>
        <v>#REF!</v>
      </c>
      <c r="D7" s="118"/>
      <c r="E7" s="118"/>
      <c r="F7" s="118"/>
      <c r="G7" s="334" t="e">
        <f t="shared" si="0"/>
        <v>#REF!</v>
      </c>
      <c r="H7" s="334" t="e">
        <f t="shared" si="0"/>
        <v>#REF!</v>
      </c>
      <c r="I7" s="334" t="e">
        <f>CL10</f>
        <v>#REF!</v>
      </c>
      <c r="J7" s="513" t="e">
        <f>CK10</f>
        <v>#REF!</v>
      </c>
      <c r="K7" s="513"/>
      <c r="L7" s="167" t="e">
        <f>CM10</f>
        <v>#REF!</v>
      </c>
      <c r="M7" s="334" t="s">
        <v>16</v>
      </c>
      <c r="N7" s="282" t="e">
        <f t="shared" si="1"/>
        <v>#REF!</v>
      </c>
      <c r="O7" s="334" t="e">
        <f t="shared" si="1"/>
        <v>#REF!</v>
      </c>
      <c r="P7" s="306" t="e">
        <f>SUM(H7*3+I7*1)</f>
        <v>#REF!</v>
      </c>
      <c r="Q7" s="167"/>
      <c r="R7" s="570" t="s">
        <v>239</v>
      </c>
      <c r="S7" s="570"/>
      <c r="T7" s="289" t="e">
        <f>CH17</f>
        <v>#REF!</v>
      </c>
      <c r="U7" s="289"/>
      <c r="V7" s="289"/>
      <c r="W7" s="289"/>
      <c r="X7" s="357" t="e">
        <f t="shared" si="2"/>
        <v>#REF!</v>
      </c>
      <c r="Y7" s="357" t="e">
        <f t="shared" si="2"/>
        <v>#REF!</v>
      </c>
      <c r="Z7" s="290" t="e">
        <f>CL17</f>
        <v>#REF!</v>
      </c>
      <c r="AA7" s="568" t="e">
        <f>CK17</f>
        <v>#REF!</v>
      </c>
      <c r="AB7" s="568"/>
      <c r="AC7" s="295" t="e">
        <f>CM17</f>
        <v>#REF!</v>
      </c>
      <c r="AD7" s="290" t="s">
        <v>16</v>
      </c>
      <c r="AE7" s="296" t="e">
        <f t="shared" si="3"/>
        <v>#REF!</v>
      </c>
      <c r="AF7" s="357" t="e">
        <f t="shared" si="3"/>
        <v>#REF!</v>
      </c>
      <c r="AG7" s="290" t="e">
        <f>SUM(Y7*3+Z7*1)</f>
        <v>#REF!</v>
      </c>
      <c r="AH7" s="69" t="s">
        <v>119</v>
      </c>
      <c r="AI7" s="70" t="s">
        <v>120</v>
      </c>
      <c r="AJ7" s="71">
        <f>I12</f>
        <v>0</v>
      </c>
      <c r="AK7" s="72">
        <f>K12</f>
        <v>0</v>
      </c>
      <c r="AL7" s="73" t="s">
        <v>121</v>
      </c>
      <c r="AM7" s="54" t="s">
        <v>122</v>
      </c>
      <c r="AN7" s="44" t="s">
        <v>123</v>
      </c>
      <c r="AO7" s="45" t="str">
        <f t="shared" ref="AO7:AO31" si="4">IF(AJ7&lt;&gt;"",IF(AJ7&gt;AK7,AI7,IF(AK7&gt;AJ7,AL7,"Draw")),"")</f>
        <v>Draw</v>
      </c>
      <c r="AP7" s="45" t="str">
        <f t="shared" ref="AP7:AP31" si="5">IF(AJ7&lt;&gt;"",IF(AJ7&lt;AK7,AI7,IF(AK7&lt;AJ7,AL7,"Draw")),"")</f>
        <v>Draw</v>
      </c>
      <c r="AQ7" s="45"/>
      <c r="AT7" s="16" t="s">
        <v>124</v>
      </c>
      <c r="AU7" s="16" t="s">
        <v>110</v>
      </c>
      <c r="AV7" s="16" t="s">
        <v>125</v>
      </c>
      <c r="AW7" s="16" t="s">
        <v>126</v>
      </c>
      <c r="AX7" s="16" t="s">
        <v>127</v>
      </c>
      <c r="AY7" s="16" t="s">
        <v>123</v>
      </c>
      <c r="AZ7" s="16" t="s">
        <v>128</v>
      </c>
      <c r="BA7" s="16" t="s">
        <v>129</v>
      </c>
      <c r="BB7" s="16" t="s">
        <v>130</v>
      </c>
      <c r="BC7" s="20" t="s">
        <v>129</v>
      </c>
      <c r="BD7" s="16" t="s">
        <v>130</v>
      </c>
      <c r="BE7" s="20" t="s">
        <v>129</v>
      </c>
      <c r="BF7" s="16" t="s">
        <v>130</v>
      </c>
      <c r="BG7" s="20" t="s">
        <v>129</v>
      </c>
      <c r="BH7" s="20" t="s">
        <v>128</v>
      </c>
      <c r="BI7" s="16" t="s">
        <v>130</v>
      </c>
      <c r="BJ7" s="16" t="s">
        <v>129</v>
      </c>
      <c r="BK7" s="20" t="s">
        <v>128</v>
      </c>
      <c r="BL7" s="16" t="s">
        <v>130</v>
      </c>
      <c r="BM7" s="16" t="s">
        <v>129</v>
      </c>
      <c r="BN7" s="20" t="s">
        <v>128</v>
      </c>
      <c r="BO7" s="16" t="s">
        <v>130</v>
      </c>
      <c r="BP7" s="16" t="s">
        <v>129</v>
      </c>
      <c r="BQ7" s="20" t="s">
        <v>128</v>
      </c>
      <c r="BR7" s="20" t="s">
        <v>127</v>
      </c>
      <c r="BS7" s="16" t="s">
        <v>130</v>
      </c>
      <c r="BT7" s="16" t="s">
        <v>129</v>
      </c>
      <c r="BU7" s="20" t="s">
        <v>128</v>
      </c>
      <c r="BV7" s="20" t="s">
        <v>127</v>
      </c>
      <c r="BW7" s="16" t="s">
        <v>130</v>
      </c>
      <c r="BX7" s="16" t="s">
        <v>129</v>
      </c>
      <c r="BY7" s="20" t="s">
        <v>128</v>
      </c>
      <c r="BZ7" s="20" t="s">
        <v>127</v>
      </c>
      <c r="CA7" s="16" t="s">
        <v>130</v>
      </c>
      <c r="CB7" s="20" t="s">
        <v>129</v>
      </c>
      <c r="CC7" s="20" t="s">
        <v>128</v>
      </c>
      <c r="CD7" s="20" t="s">
        <v>127</v>
      </c>
      <c r="CI7" s="20" t="s">
        <v>131</v>
      </c>
      <c r="CJ7" s="20" t="s">
        <v>110</v>
      </c>
      <c r="CK7" s="20" t="s">
        <v>125</v>
      </c>
      <c r="CL7" s="20" t="s">
        <v>126</v>
      </c>
      <c r="CM7" s="20" t="s">
        <v>127</v>
      </c>
      <c r="CN7" s="20" t="s">
        <v>123</v>
      </c>
      <c r="CO7" s="20" t="s">
        <v>128</v>
      </c>
      <c r="CP7" s="20" t="s">
        <v>129</v>
      </c>
      <c r="CR7" s="21" t="e">
        <f>#REF!</f>
        <v>#REF!</v>
      </c>
    </row>
    <row r="8" spans="1:133" ht="12.95" customHeight="1" thickBot="1" x14ac:dyDescent="0.25">
      <c r="A8" s="516" t="s">
        <v>202</v>
      </c>
      <c r="B8" s="517"/>
      <c r="C8" s="118" t="e">
        <f>CH11</f>
        <v>#REF!</v>
      </c>
      <c r="D8" s="118"/>
      <c r="E8" s="118"/>
      <c r="F8" s="118"/>
      <c r="G8" s="334" t="e">
        <f t="shared" si="0"/>
        <v>#REF!</v>
      </c>
      <c r="H8" s="334" t="e">
        <f t="shared" si="0"/>
        <v>#REF!</v>
      </c>
      <c r="I8" s="334" t="e">
        <f>CL11</f>
        <v>#REF!</v>
      </c>
      <c r="J8" s="513" t="e">
        <f>CK11</f>
        <v>#REF!</v>
      </c>
      <c r="K8" s="513"/>
      <c r="L8" s="167" t="e">
        <f>CM11</f>
        <v>#REF!</v>
      </c>
      <c r="M8" s="334" t="s">
        <v>16</v>
      </c>
      <c r="N8" s="282" t="e">
        <f t="shared" si="1"/>
        <v>#REF!</v>
      </c>
      <c r="O8" s="334" t="e">
        <f t="shared" si="1"/>
        <v>#REF!</v>
      </c>
      <c r="P8" s="306" t="e">
        <f>SUM(H8*3+I8*1)</f>
        <v>#REF!</v>
      </c>
      <c r="Q8" s="167"/>
      <c r="R8" s="570" t="s">
        <v>240</v>
      </c>
      <c r="S8" s="570"/>
      <c r="T8" s="289" t="e">
        <f>CH18</f>
        <v>#REF!</v>
      </c>
      <c r="U8" s="289"/>
      <c r="V8" s="289"/>
      <c r="W8" s="289"/>
      <c r="X8" s="357" t="e">
        <f t="shared" si="2"/>
        <v>#REF!</v>
      </c>
      <c r="Y8" s="357" t="e">
        <f t="shared" si="2"/>
        <v>#REF!</v>
      </c>
      <c r="Z8" s="290" t="e">
        <f>CL18</f>
        <v>#REF!</v>
      </c>
      <c r="AA8" s="568" t="e">
        <f>CK18</f>
        <v>#REF!</v>
      </c>
      <c r="AB8" s="568"/>
      <c r="AC8" s="295" t="e">
        <f>CM18</f>
        <v>#REF!</v>
      </c>
      <c r="AD8" s="290" t="s">
        <v>16</v>
      </c>
      <c r="AE8" s="296" t="e">
        <f t="shared" si="3"/>
        <v>#REF!</v>
      </c>
      <c r="AF8" s="357" t="e">
        <f t="shared" si="3"/>
        <v>#REF!</v>
      </c>
      <c r="AG8" s="290" t="e">
        <f>SUM(Y8*3+Z8*1)</f>
        <v>#REF!</v>
      </c>
      <c r="AH8" s="70" t="s">
        <v>133</v>
      </c>
      <c r="AI8" s="70" t="s">
        <v>134</v>
      </c>
      <c r="AJ8" s="71">
        <f>I43</f>
        <v>0</v>
      </c>
      <c r="AK8" s="72">
        <f>K43</f>
        <v>0</v>
      </c>
      <c r="AL8" s="73" t="s">
        <v>135</v>
      </c>
      <c r="AM8" s="51" t="s">
        <v>136</v>
      </c>
      <c r="AN8" s="44" t="s">
        <v>137</v>
      </c>
      <c r="AO8" s="45" t="str">
        <f t="shared" si="4"/>
        <v>Draw</v>
      </c>
      <c r="AP8" s="45" t="str">
        <f t="shared" si="5"/>
        <v>Draw</v>
      </c>
      <c r="AQ8" s="45"/>
      <c r="AS8" s="16" t="str">
        <f>EINDRONDE!AO20</f>
        <v>DA1</v>
      </c>
      <c r="AT8" s="16">
        <f>COUNT(France_Played)</f>
        <v>1</v>
      </c>
      <c r="AU8" s="16">
        <f>COUNTIF(Groupstage_Winners,"France")</f>
        <v>0</v>
      </c>
      <c r="AV8" s="16">
        <f>COUNTIF(Groupstage_Losers,"France")</f>
        <v>0</v>
      </c>
      <c r="AW8" s="16">
        <f>AT8-(AU8+AV8)</f>
        <v>1</v>
      </c>
      <c r="AX8" s="16" t="e">
        <f>SUM(France_Played)</f>
        <v>#REF!</v>
      </c>
      <c r="AY8" s="16" t="e">
        <f>SUM(France_Against)</f>
        <v>#REF!</v>
      </c>
      <c r="AZ8" s="16" t="e">
        <f>AX8-AY8</f>
        <v>#REF!</v>
      </c>
      <c r="BA8" s="16">
        <f>SUM((AU8*3)+(AW8*1))</f>
        <v>1</v>
      </c>
      <c r="BB8" s="16" t="str">
        <f>IF($BA8&gt;=$BA9,$AS8,$AS9)</f>
        <v>DA1</v>
      </c>
      <c r="BC8" s="16">
        <f>VLOOKUP($BB8,$AS8:$BA11,9,FALSE)</f>
        <v>1</v>
      </c>
      <c r="BD8" s="16" t="str">
        <f>IF($BC8&gt;=$BC10,$BB8,$BB10)</f>
        <v>DA4</v>
      </c>
      <c r="BE8" s="16">
        <f>VLOOKUP($BD8,$AS8:$BA11,9,FALSE)</f>
        <v>4</v>
      </c>
      <c r="BF8" s="16" t="str">
        <f>IF($BE8&gt;=$BE11,$BD8,$BD11)</f>
        <v>DA4</v>
      </c>
      <c r="BG8" s="16">
        <f>VLOOKUP($BF8,$AS8:$BA11,9,FALSE)</f>
        <v>4</v>
      </c>
      <c r="BH8" s="16" t="e">
        <f>VLOOKUP($BF8,$AS8:$BA11,8,FALSE)</f>
        <v>#REF!</v>
      </c>
      <c r="BI8" s="16" t="e">
        <f>IF(AND($BG8=$BG9,$BH9&gt;$BH8),$BF9,$BF8)</f>
        <v>#REF!</v>
      </c>
      <c r="BJ8" s="16" t="e">
        <f>VLOOKUP($BI8,$AS8:$BA11,9,FALSE)</f>
        <v>#REF!</v>
      </c>
      <c r="BK8" s="16" t="e">
        <f>VLOOKUP($BI8,$AS8:$BA11,8,FALSE)</f>
        <v>#REF!</v>
      </c>
      <c r="BL8" s="16" t="e">
        <f>IF(AND($BJ8=$BJ10,$BK10&gt;$BK8),$BI10,$BI8)</f>
        <v>#REF!</v>
      </c>
      <c r="BM8" s="16" t="e">
        <f>VLOOKUP($BL8,$AS8:$BA11,9,FALSE)</f>
        <v>#REF!</v>
      </c>
      <c r="BN8" s="16" t="e">
        <f>VLOOKUP($BL8,$AS8:$BA11,8,FALSE)</f>
        <v>#REF!</v>
      </c>
      <c r="BO8" s="16" t="e">
        <f>IF(AND($BM8=$BM11,$BN11&gt;$BN8),$BL11,$BL8)</f>
        <v>#REF!</v>
      </c>
      <c r="BP8" s="16" t="e">
        <f>VLOOKUP($BO8,$AS8:$BA11,9,FALSE)</f>
        <v>#REF!</v>
      </c>
      <c r="BQ8" s="16" t="e">
        <f>VLOOKUP($BO8,$AS8:$BA11,8,FALSE)</f>
        <v>#REF!</v>
      </c>
      <c r="BR8" s="16" t="e">
        <f>VLOOKUP($BO8,$AS8:$BA11,6,FALSE)</f>
        <v>#REF!</v>
      </c>
      <c r="BS8" s="16" t="e">
        <f>IF(AND($BP8=$BP9,$BQ8=$BQ9,$BR9&gt;$BR8),$BO9,$BO8)</f>
        <v>#REF!</v>
      </c>
      <c r="BT8" s="16" t="e">
        <f>VLOOKUP($BS8,$AS8:$BA11,9,FALSE)</f>
        <v>#REF!</v>
      </c>
      <c r="BU8" s="16" t="e">
        <f>VLOOKUP($BS8,$AS8:$BA11,8,FALSE)</f>
        <v>#REF!</v>
      </c>
      <c r="BV8" s="16" t="e">
        <f>VLOOKUP($BS8,$AS8:$BA11,6,FALSE)</f>
        <v>#REF!</v>
      </c>
      <c r="BW8" s="16" t="e">
        <f>IF(AND($BT8=$BT10,$BU8=$BU10,$BV10&gt;$BV8),$BS10,$BS8)</f>
        <v>#REF!</v>
      </c>
      <c r="BX8" s="16" t="e">
        <f>VLOOKUP($BW8,$AS8:$BA11,9,FALSE)</f>
        <v>#REF!</v>
      </c>
      <c r="BY8" s="16" t="e">
        <f>VLOOKUP($BW8,$AS8:$BA11,8,FALSE)</f>
        <v>#REF!</v>
      </c>
      <c r="BZ8" s="16" t="e">
        <f>VLOOKUP($BW8,$AS8:$BA11,6,FALSE)</f>
        <v>#REF!</v>
      </c>
      <c r="CA8" s="16" t="e">
        <f>IF(AND($BX8=$BX11,$BY8=$BY11,$BZ11&gt;$BZ8),$BW11,$BW8)</f>
        <v>#REF!</v>
      </c>
      <c r="CB8" s="16" t="e">
        <f>VLOOKUP($CA8,$AS8:$BA11,9,FALSE)</f>
        <v>#REF!</v>
      </c>
      <c r="CC8" s="16" t="e">
        <f>VLOOKUP($CA8,$AS8:$BA11,8,FALSE)</f>
        <v>#REF!</v>
      </c>
      <c r="CD8" s="16" t="e">
        <f>VLOOKUP($CA8,$AS8:$BA11,6,FALSE)</f>
        <v>#REF!</v>
      </c>
      <c r="CH8" s="16" t="e">
        <f>CA8</f>
        <v>#REF!</v>
      </c>
      <c r="CI8" s="16" t="e">
        <f>VLOOKUP($CH8,$AS8:$BA11,2,FALSE)</f>
        <v>#REF!</v>
      </c>
      <c r="CJ8" s="16" t="e">
        <f>VLOOKUP($CH8,$AS8:$BA11,3,FALSE)</f>
        <v>#REF!</v>
      </c>
      <c r="CK8" s="16" t="e">
        <f>VLOOKUP($CH8,$AS8:$BA11,4,FALSE)</f>
        <v>#REF!</v>
      </c>
      <c r="CL8" s="16" t="e">
        <f>VLOOKUP($CH8,$AS8:$BA11,5,FALSE)</f>
        <v>#REF!</v>
      </c>
      <c r="CM8" s="16" t="e">
        <f>VLOOKUP($CH8,$AS8:$BA11,6,FALSE)</f>
        <v>#REF!</v>
      </c>
      <c r="CN8" s="16" t="e">
        <f>VLOOKUP($CH8,$AS8:$BA11,7,FALSE)</f>
        <v>#REF!</v>
      </c>
      <c r="CO8" s="16" t="e">
        <f>VLOOKUP($CH8,$AS8:$BA11,8,FALSE)</f>
        <v>#REF!</v>
      </c>
      <c r="CP8" s="16" t="e">
        <f>VLOOKUP($CH8,$AS8:$BA11,9,FALSE)</f>
        <v>#REF!</v>
      </c>
      <c r="CR8" s="21" t="e">
        <f>#REF!</f>
        <v>#REF!</v>
      </c>
    </row>
    <row r="9" spans="1:133" ht="7.5" customHeight="1" thickBot="1" x14ac:dyDescent="0.25">
      <c r="A9" s="28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32"/>
      <c r="Q9" s="24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70" t="s">
        <v>138</v>
      </c>
      <c r="AI9" s="70" t="s">
        <v>139</v>
      </c>
      <c r="AJ9" s="71">
        <f>I11</f>
        <v>0</v>
      </c>
      <c r="AK9" s="72">
        <f>K11</f>
        <v>0</v>
      </c>
      <c r="AL9" s="73" t="s">
        <v>140</v>
      </c>
      <c r="AM9" s="55" t="s">
        <v>141</v>
      </c>
      <c r="AN9" s="44" t="s">
        <v>123</v>
      </c>
      <c r="AO9" s="45" t="str">
        <f t="shared" si="4"/>
        <v>Draw</v>
      </c>
      <c r="AP9" s="45" t="str">
        <f t="shared" si="5"/>
        <v>Draw</v>
      </c>
      <c r="AS9" s="16" t="str">
        <f>EINDRONDE!AO21</f>
        <v>DA2</v>
      </c>
      <c r="AT9" s="16">
        <f>COUNT(Senegal_Played)</f>
        <v>2</v>
      </c>
      <c r="AU9" s="16">
        <f>COUNTIF(Groupstage_Winners,"Senegal")</f>
        <v>0</v>
      </c>
      <c r="AV9" s="16">
        <f>COUNTIF(Groupstage_Losers,"Senegal")</f>
        <v>1</v>
      </c>
      <c r="AW9" s="16">
        <f>AT9-(AU9+AV9)</f>
        <v>1</v>
      </c>
      <c r="AX9" s="16" t="e">
        <f>SUM(Senegal_Played)</f>
        <v>#REF!</v>
      </c>
      <c r="AY9" s="16" t="e">
        <f>SUM(Senegal_Against)</f>
        <v>#REF!</v>
      </c>
      <c r="AZ9" s="16" t="e">
        <f>AX9-AY9</f>
        <v>#REF!</v>
      </c>
      <c r="BA9" s="16">
        <f t="shared" ref="BA9:BA11" si="6">SUM((AU9*3)+(AW9*1))</f>
        <v>1</v>
      </c>
      <c r="BB9" s="16" t="str">
        <f>IF($BA9&lt;=$BA8,$AS9,$AS8)</f>
        <v>DA2</v>
      </c>
      <c r="BC9" s="16">
        <f>VLOOKUP($BB9,$AS8:$BA11,9,FALSE)</f>
        <v>1</v>
      </c>
      <c r="BD9" s="16" t="str">
        <f>IF(BC9&gt;=BC11,BB9,BB11)</f>
        <v>DA2</v>
      </c>
      <c r="BE9" s="16">
        <f>VLOOKUP($BD9,$AS8:$BA11,9,FALSE)</f>
        <v>1</v>
      </c>
      <c r="BF9" s="16" t="str">
        <f>IF($BE9&gt;=$BE10,$BD9,$BD10)</f>
        <v>DA2</v>
      </c>
      <c r="BG9" s="16">
        <f>VLOOKUP($BF9,$AS8:$BA11,9,FALSE)</f>
        <v>1</v>
      </c>
      <c r="BH9" s="16" t="e">
        <f>VLOOKUP($BF9,$AS8:$BA11,8,FALSE)</f>
        <v>#REF!</v>
      </c>
      <c r="BI9" s="16" t="e">
        <f>IF(AND($BG8=$BG9,$BH9&gt;$BH8),$BF8,$BF9)</f>
        <v>#REF!</v>
      </c>
      <c r="BJ9" s="16" t="e">
        <f>VLOOKUP($BI9,$AS8:$BA11,9,FALSE)</f>
        <v>#REF!</v>
      </c>
      <c r="BK9" s="16" t="e">
        <f>VLOOKUP($BI9,$AS8:$BA11,8,FALSE)</f>
        <v>#REF!</v>
      </c>
      <c r="BL9" s="16" t="e">
        <f>IF(AND($BJ9=$BJ11,$BK11&gt;$BK9),$BI11,$BI9)</f>
        <v>#REF!</v>
      </c>
      <c r="BM9" s="16" t="e">
        <f>VLOOKUP($BL9,$AS8:$BA11,9,FALSE)</f>
        <v>#REF!</v>
      </c>
      <c r="BN9" s="16" t="e">
        <f>VLOOKUP($BL9,$AS8:$BA11,8,FALSE)</f>
        <v>#REF!</v>
      </c>
      <c r="BO9" s="16" t="e">
        <f>IF(AND($BM9=$BM10,$BN10&gt;$BN9),$BL10,$BL9)</f>
        <v>#REF!</v>
      </c>
      <c r="BP9" s="16" t="e">
        <f>VLOOKUP($BO9,$AS8:$BA11,9,FALSE)</f>
        <v>#REF!</v>
      </c>
      <c r="BQ9" s="16" t="e">
        <f>VLOOKUP($BO9,$AS8:$BA11,8,FALSE)</f>
        <v>#REF!</v>
      </c>
      <c r="BR9" s="16" t="e">
        <f>VLOOKUP($BO9,$AS8:$BA11,6,FALSE)</f>
        <v>#REF!</v>
      </c>
      <c r="BS9" s="16" t="e">
        <f>IF(AND($BP8=$BP9,$BQ8=$BQ9,$BR9&gt;$BR8),$BO8,$BO9)</f>
        <v>#REF!</v>
      </c>
      <c r="BT9" s="16" t="e">
        <f>VLOOKUP($BS9,$AS8:$BA11,9,FALSE)</f>
        <v>#REF!</v>
      </c>
      <c r="BU9" s="16" t="e">
        <f>VLOOKUP($BS9,$AS8:$BA11,8,FALSE)</f>
        <v>#REF!</v>
      </c>
      <c r="BV9" s="16" t="e">
        <f>VLOOKUP($BS9,$AS8:$BA11,6,FALSE)</f>
        <v>#REF!</v>
      </c>
      <c r="BW9" s="16" t="e">
        <f>IF(AND($BT9=$BT11,$BU9=$BU11,$BV11&gt;$BV9),$BS11,$BS9)</f>
        <v>#REF!</v>
      </c>
      <c r="BX9" s="16" t="e">
        <f>VLOOKUP($BW9,$AS8:$BA11,9,FALSE)</f>
        <v>#REF!</v>
      </c>
      <c r="BY9" s="16" t="e">
        <f>VLOOKUP($BW9,$AS8:$BA11,8,FALSE)</f>
        <v>#REF!</v>
      </c>
      <c r="BZ9" s="16" t="e">
        <f>VLOOKUP($BW9,$AS8:$BA11,6,FALSE)</f>
        <v>#REF!</v>
      </c>
      <c r="CA9" s="16" t="e">
        <f>IF(AND($BX9=$BX10,$BY9=$BY10,$BZ10&gt;$BZ9),$BW10,$BW9)</f>
        <v>#REF!</v>
      </c>
      <c r="CB9" s="16" t="e">
        <f>VLOOKUP($CA9,$AS8:$BA11,9,FALSE)</f>
        <v>#REF!</v>
      </c>
      <c r="CC9" s="16" t="e">
        <f>VLOOKUP($CA9,$AS8:$BA11,8,FALSE)</f>
        <v>#REF!</v>
      </c>
      <c r="CD9" s="16" t="e">
        <f>VLOOKUP($CA9,$AS8:$BA11,6,FALSE)</f>
        <v>#REF!</v>
      </c>
      <c r="CH9" s="16" t="e">
        <f>CA9</f>
        <v>#REF!</v>
      </c>
      <c r="CI9" s="16" t="e">
        <f>VLOOKUP($CH9,$AS8:$BA11,2,FALSE)</f>
        <v>#REF!</v>
      </c>
      <c r="CJ9" s="16" t="e">
        <f>VLOOKUP($CH9,$AS8:$BA11,3,FALSE)</f>
        <v>#REF!</v>
      </c>
      <c r="CK9" s="16" t="e">
        <f>VLOOKUP($CH9,$AS8:$BA11,4,FALSE)</f>
        <v>#REF!</v>
      </c>
      <c r="CL9" s="16" t="e">
        <f>VLOOKUP($CH9,$AS8:$BA11,5,FALSE)</f>
        <v>#REF!</v>
      </c>
      <c r="CM9" s="16" t="e">
        <f>VLOOKUP($CH9,$AS8:$BA11,6,FALSE)</f>
        <v>#REF!</v>
      </c>
      <c r="CN9" s="16" t="e">
        <f>VLOOKUP($CH9,$AS8:$BA11,7,FALSE)</f>
        <v>#REF!</v>
      </c>
      <c r="CO9" s="16" t="e">
        <f>VLOOKUP($CH9,$AS8:$BA11,8,FALSE)</f>
        <v>#REF!</v>
      </c>
      <c r="CP9" s="16" t="e">
        <f>VLOOKUP($CH9,$AS8:$BA11,9,FALSE)</f>
        <v>#REF!</v>
      </c>
      <c r="CR9" s="21" t="e">
        <f>#REF!</f>
        <v>#REF!</v>
      </c>
    </row>
    <row r="10" spans="1:133" ht="9.75" customHeight="1" thickBot="1" x14ac:dyDescent="0.25">
      <c r="A10" s="246" t="s">
        <v>85</v>
      </c>
      <c r="B10" s="339"/>
      <c r="C10" s="339"/>
      <c r="D10" s="124" t="s">
        <v>86</v>
      </c>
      <c r="E10" s="124"/>
      <c r="F10" s="124"/>
      <c r="G10" s="124"/>
      <c r="H10" s="124"/>
      <c r="I10" s="515" t="s">
        <v>15</v>
      </c>
      <c r="J10" s="515"/>
      <c r="K10" s="515"/>
      <c r="L10" s="526"/>
      <c r="M10" s="526"/>
      <c r="N10" s="526"/>
      <c r="O10" s="526"/>
      <c r="P10" s="527"/>
      <c r="Q10" s="24"/>
      <c r="R10" s="358"/>
      <c r="S10" s="356"/>
      <c r="T10" s="356"/>
      <c r="U10" s="297"/>
      <c r="V10" s="297"/>
      <c r="W10" s="297"/>
      <c r="X10" s="297"/>
      <c r="Y10" s="297"/>
      <c r="Z10" s="569" t="s">
        <v>241</v>
      </c>
      <c r="AA10" s="569"/>
      <c r="AB10" s="569"/>
      <c r="AC10" s="567"/>
      <c r="AD10" s="567"/>
      <c r="AE10" s="567"/>
      <c r="AF10" s="567"/>
      <c r="AG10" s="567"/>
      <c r="AH10" s="69" t="s">
        <v>142</v>
      </c>
      <c r="AI10" s="70" t="s">
        <v>143</v>
      </c>
      <c r="AJ10" s="71">
        <f>I42</f>
        <v>0</v>
      </c>
      <c r="AK10" s="72">
        <f>K42</f>
        <v>0</v>
      </c>
      <c r="AL10" s="73" t="s">
        <v>144</v>
      </c>
      <c r="AM10" s="50" t="s">
        <v>145</v>
      </c>
      <c r="AN10" s="44" t="s">
        <v>137</v>
      </c>
      <c r="AO10" s="45" t="str">
        <f t="shared" si="4"/>
        <v>Draw</v>
      </c>
      <c r="AP10" s="45" t="str">
        <f t="shared" si="5"/>
        <v>Draw</v>
      </c>
      <c r="AQ10" s="45"/>
      <c r="AS10" s="16" t="str">
        <f>EINDRONDE!AO22</f>
        <v>DA3</v>
      </c>
      <c r="AT10" s="16">
        <f>COUNT(Uruguay_Played)</f>
        <v>1</v>
      </c>
      <c r="AU10" s="16">
        <f>COUNTIF(Groupstage_Winners,"Uruguay")</f>
        <v>0</v>
      </c>
      <c r="AV10" s="16">
        <f>COUNTIF(Groupstage_Losers,"Uruguay")</f>
        <v>0</v>
      </c>
      <c r="AW10" s="16">
        <f>AT10-(AU10+AV10)</f>
        <v>1</v>
      </c>
      <c r="AX10" s="16" t="e">
        <f>SUM(Uruguay_Played)</f>
        <v>#REF!</v>
      </c>
      <c r="AY10" s="16" t="e">
        <f>SUM(Uruguay_Against)</f>
        <v>#REF!</v>
      </c>
      <c r="AZ10" s="16" t="e">
        <f>AX10-AY10</f>
        <v>#REF!</v>
      </c>
      <c r="BA10" s="16">
        <f t="shared" si="6"/>
        <v>1</v>
      </c>
      <c r="BB10" s="16" t="str">
        <f>IF($BA10&gt;=$BA11,$AS10,$AS11)</f>
        <v>DA4</v>
      </c>
      <c r="BC10" s="16">
        <f>VLOOKUP($BB10,$AS8:$BA11,9,FALSE)</f>
        <v>4</v>
      </c>
      <c r="BD10" s="16" t="str">
        <f>IF($BC10&lt;=$BC8,$BB10,$BB8)</f>
        <v>DA1</v>
      </c>
      <c r="BE10" s="16">
        <f>VLOOKUP($BD10,$AS8:$BA11,9,FALSE)</f>
        <v>1</v>
      </c>
      <c r="BF10" s="16" t="str">
        <f>IF($BE10&lt;=$BE9,$BD10,$BD9)</f>
        <v>DA1</v>
      </c>
      <c r="BG10" s="16">
        <f>VLOOKUP($BF10,$AS8:$BA11,9,FALSE)</f>
        <v>1</v>
      </c>
      <c r="BH10" s="16" t="e">
        <f>VLOOKUP($BF10,$AS8:$BA11,8,FALSE)</f>
        <v>#REF!</v>
      </c>
      <c r="BI10" s="16" t="e">
        <f>IF(AND($BG10=$BG11,$BH11&gt;$BH10),$BF11,$BF10)</f>
        <v>#REF!</v>
      </c>
      <c r="BJ10" s="16" t="e">
        <f>VLOOKUP($BI10,$AS8:$BA11,9,FALSE)</f>
        <v>#REF!</v>
      </c>
      <c r="BK10" s="16" t="e">
        <f>VLOOKUP($BI10,$AS8:$BA11,8,FALSE)</f>
        <v>#REF!</v>
      </c>
      <c r="BL10" s="16" t="e">
        <f>IF(AND($BJ8=$BJ10,$BK10&gt;$BK8),$BI8,$BI10)</f>
        <v>#REF!</v>
      </c>
      <c r="BM10" s="16" t="e">
        <f>VLOOKUP($BL10,$AS8:$BA11,9,FALSE)</f>
        <v>#REF!</v>
      </c>
      <c r="BN10" s="16" t="e">
        <f>VLOOKUP($BL10,$AS8:$BA11,8,FALSE)</f>
        <v>#REF!</v>
      </c>
      <c r="BO10" s="16" t="e">
        <f>IF(AND($BM9=$BM10,$BN10&gt;$BN9),$BL9,$BL10)</f>
        <v>#REF!</v>
      </c>
      <c r="BP10" s="16" t="e">
        <f>VLOOKUP($BO10,$AS8:$BA11,9,FALSE)</f>
        <v>#REF!</v>
      </c>
      <c r="BQ10" s="16" t="e">
        <f>VLOOKUP($BO10,$AS8:$BA11,8,FALSE)</f>
        <v>#REF!</v>
      </c>
      <c r="BR10" s="16" t="e">
        <f>VLOOKUP($BO10,$AS8:$BA11,6,FALSE)</f>
        <v>#REF!</v>
      </c>
      <c r="BS10" s="16" t="e">
        <f>IF(AND($BP10=$BP11,$BQ10=$BQ11,$BR11&gt;$BR10),$BO11,$BO10)</f>
        <v>#REF!</v>
      </c>
      <c r="BT10" s="16" t="e">
        <f>VLOOKUP($BS10,$AS8:$BA11,9,FALSE)</f>
        <v>#REF!</v>
      </c>
      <c r="BU10" s="16" t="e">
        <f>VLOOKUP($BS10,$AS8:$BA11,8,FALSE)</f>
        <v>#REF!</v>
      </c>
      <c r="BV10" s="16" t="e">
        <f>VLOOKUP($BS10,$AS8:$BA11,6,FALSE)</f>
        <v>#REF!</v>
      </c>
      <c r="BW10" s="16" t="e">
        <f>IF(AND($BT8=$BT10,$BU8=$BU10,$BV9&gt;$BV8),$BS8,$BS10)</f>
        <v>#REF!</v>
      </c>
      <c r="BX10" s="16" t="e">
        <f>VLOOKUP($BW10,$AS8:$BA11,9,FALSE)</f>
        <v>#REF!</v>
      </c>
      <c r="BY10" s="16" t="e">
        <f>VLOOKUP($BW10,$AS8:$BA11,8,FALSE)</f>
        <v>#REF!</v>
      </c>
      <c r="BZ10" s="16" t="e">
        <f>VLOOKUP($BW10,$AS8:$BA11,6,FALSE)</f>
        <v>#REF!</v>
      </c>
      <c r="CA10" s="16" t="e">
        <f>IF(AND($BX9=$BX10,$BY9=$BY10,$BZ10&gt;$BZ9),$BW9,$BW10)</f>
        <v>#REF!</v>
      </c>
      <c r="CB10" s="16" t="e">
        <f>VLOOKUP($CA10,$AS8:$BA11,9,FALSE)</f>
        <v>#REF!</v>
      </c>
      <c r="CC10" s="16" t="e">
        <f>VLOOKUP($CA10,$AS8:$BA11,8,FALSE)</f>
        <v>#REF!</v>
      </c>
      <c r="CD10" s="16" t="e">
        <f>VLOOKUP($CA10,$AS8:$BA11,6,FALSE)</f>
        <v>#REF!</v>
      </c>
      <c r="CH10" s="16" t="e">
        <f>CA10</f>
        <v>#REF!</v>
      </c>
      <c r="CI10" s="16" t="e">
        <f>VLOOKUP($CH10,$AS8:$BA11,2,FALSE)</f>
        <v>#REF!</v>
      </c>
      <c r="CJ10" s="16" t="e">
        <f>VLOOKUP($CH10,$AS8:$BA11,3,FALSE)</f>
        <v>#REF!</v>
      </c>
      <c r="CK10" s="16" t="e">
        <f>VLOOKUP($CH10,$AS8:$BA11,4,FALSE)</f>
        <v>#REF!</v>
      </c>
      <c r="CL10" s="16" t="e">
        <f>VLOOKUP($CH10,$AS8:$BA11,5,FALSE)</f>
        <v>#REF!</v>
      </c>
      <c r="CM10" s="16" t="e">
        <f>VLOOKUP($CH10,$AS8:$BA11,6,FALSE)</f>
        <v>#REF!</v>
      </c>
      <c r="CN10" s="16" t="e">
        <f>VLOOKUP($CH10,$AS8:$BA11,7,FALSE)</f>
        <v>#REF!</v>
      </c>
      <c r="CO10" s="16" t="e">
        <f>VLOOKUP($CH10,$AS8:$BA11,8,FALSE)</f>
        <v>#REF!</v>
      </c>
      <c r="CP10" s="16" t="e">
        <f>VLOOKUP($CH10,$AS8:$BA11,9,FALSE)</f>
        <v>#REF!</v>
      </c>
      <c r="CR10" s="21" t="e">
        <f>#REF!</f>
        <v>#REF!</v>
      </c>
    </row>
    <row r="11" spans="1:133" ht="12.95" customHeight="1" thickBot="1" x14ac:dyDescent="0.25">
      <c r="A11" s="520">
        <f>START!C14</f>
        <v>0.5625</v>
      </c>
      <c r="B11" s="518"/>
      <c r="C11" s="283"/>
      <c r="D11" s="337" t="str">
        <f>AS8</f>
        <v>DA1</v>
      </c>
      <c r="E11" s="283" t="s">
        <v>16</v>
      </c>
      <c r="F11" s="518" t="str">
        <f>AS9</f>
        <v>DA2</v>
      </c>
      <c r="G11" s="518"/>
      <c r="H11" s="518"/>
      <c r="I11" s="165">
        <f>KWALIFICATIE!AR38</f>
        <v>0</v>
      </c>
      <c r="J11" s="334" t="s">
        <v>16</v>
      </c>
      <c r="K11" s="166">
        <f>KWALIFICATIE!AT38</f>
        <v>0</v>
      </c>
      <c r="L11" s="518"/>
      <c r="M11" s="518"/>
      <c r="N11" s="518"/>
      <c r="O11" s="518"/>
      <c r="P11" s="519"/>
      <c r="Q11" s="118"/>
      <c r="R11" s="564"/>
      <c r="S11" s="565"/>
      <c r="T11" s="292"/>
      <c r="U11" s="355" t="e">
        <f>AS15</f>
        <v>#REF!</v>
      </c>
      <c r="V11" s="292" t="s">
        <v>16</v>
      </c>
      <c r="W11" s="565" t="e">
        <f>AS16</f>
        <v>#REF!</v>
      </c>
      <c r="X11" s="565"/>
      <c r="Y11" s="565"/>
      <c r="Z11" s="293" t="e">
        <f>KWALIFICATIE!#REF!</f>
        <v>#REF!</v>
      </c>
      <c r="AA11" s="290" t="s">
        <v>16</v>
      </c>
      <c r="AB11" s="294" t="e">
        <f>KWALIFICATIE!#REF!</f>
        <v>#REF!</v>
      </c>
      <c r="AC11" s="565"/>
      <c r="AD11" s="565"/>
      <c r="AE11" s="565"/>
      <c r="AF11" s="565"/>
      <c r="AG11" s="565"/>
      <c r="AH11" s="69" t="s">
        <v>146</v>
      </c>
      <c r="AI11" s="70" t="s">
        <v>147</v>
      </c>
      <c r="AJ11" s="71">
        <f>Z43</f>
        <v>0</v>
      </c>
      <c r="AK11" s="72">
        <f>AB43</f>
        <v>0</v>
      </c>
      <c r="AL11" s="73" t="s">
        <v>148</v>
      </c>
      <c r="AM11" s="50" t="s">
        <v>149</v>
      </c>
      <c r="AN11" s="44" t="s">
        <v>127</v>
      </c>
      <c r="AO11" s="45" t="str">
        <f t="shared" si="4"/>
        <v>Draw</v>
      </c>
      <c r="AP11" s="45" t="str">
        <f t="shared" si="5"/>
        <v>Draw</v>
      </c>
      <c r="AQ11" s="45"/>
      <c r="AS11" s="16" t="str">
        <f>EINDRONDE!AO23</f>
        <v>DA4</v>
      </c>
      <c r="AT11" s="16">
        <f>COUNT(Denmark_Played)</f>
        <v>2</v>
      </c>
      <c r="AU11" s="16">
        <f>COUNTIF(Groupstage_Winners,"Denmark")</f>
        <v>1</v>
      </c>
      <c r="AV11" s="16">
        <f>COUNTIF(Groupstage_Losers,"Denmark")</f>
        <v>0</v>
      </c>
      <c r="AW11" s="16">
        <f>AT11-(AU11+AV11)</f>
        <v>1</v>
      </c>
      <c r="AX11" s="16" t="e">
        <f>SUM(Denmark_Played)</f>
        <v>#REF!</v>
      </c>
      <c r="AY11" s="16" t="e">
        <f>SUM(Denmark_Against)</f>
        <v>#REF!</v>
      </c>
      <c r="AZ11" s="16" t="e">
        <f>AX11-AY11</f>
        <v>#REF!</v>
      </c>
      <c r="BA11" s="16">
        <f t="shared" si="6"/>
        <v>4</v>
      </c>
      <c r="BB11" s="16" t="str">
        <f>IF($BA11&lt;=$BA10,$AS11,$AS10)</f>
        <v>DA3</v>
      </c>
      <c r="BC11" s="16">
        <f>VLOOKUP($BB11,$AS8:$BA11,9,FALSE)</f>
        <v>1</v>
      </c>
      <c r="BD11" s="16" t="str">
        <f>IF(BC11&lt;=BC9,BB11,BB9)</f>
        <v>DA3</v>
      </c>
      <c r="BE11" s="16">
        <f>VLOOKUP($BD11,$AS8:$BA11,9,FALSE)</f>
        <v>1</v>
      </c>
      <c r="BF11" s="16" t="str">
        <f>IF($BE11&lt;=$BE8,$BD11,$BD8)</f>
        <v>DA3</v>
      </c>
      <c r="BG11" s="16">
        <f>VLOOKUP($BF11,$AS8:$BA11,9,FALSE)</f>
        <v>1</v>
      </c>
      <c r="BH11" s="16" t="e">
        <f>VLOOKUP($BF11,$AS8:$BA11,8,FALSE)</f>
        <v>#REF!</v>
      </c>
      <c r="BI11" s="16" t="e">
        <f>IF(AND($BG10=$BG11,$BH11&gt;$BH10),$BF10,$BF11)</f>
        <v>#REF!</v>
      </c>
      <c r="BJ11" s="16" t="e">
        <f>VLOOKUP($BI11,$AS8:$BA11,9,FALSE)</f>
        <v>#REF!</v>
      </c>
      <c r="BK11" s="16" t="e">
        <f>VLOOKUP($BI11,$AS8:$BA11,8,FALSE)</f>
        <v>#REF!</v>
      </c>
      <c r="BL11" s="16" t="e">
        <f>IF(AND($BJ9=$BJ11,$BK11&gt;$BK9),$BI9,$BI11)</f>
        <v>#REF!</v>
      </c>
      <c r="BM11" s="16" t="e">
        <f>VLOOKUP($BL11,$AS8:$BA11,9,FALSE)</f>
        <v>#REF!</v>
      </c>
      <c r="BN11" s="16" t="e">
        <f>VLOOKUP($BL11,$AS8:$BA11,8,FALSE)</f>
        <v>#REF!</v>
      </c>
      <c r="BO11" s="16" t="e">
        <f>IF(AND($BM8=$BM11,$BN11&gt;$BN8),$BL8,$BL11)</f>
        <v>#REF!</v>
      </c>
      <c r="BP11" s="16" t="e">
        <f>VLOOKUP($BO11,$AS8:$BA11,9,FALSE)</f>
        <v>#REF!</v>
      </c>
      <c r="BQ11" s="16" t="e">
        <f>VLOOKUP($BO11,$AS8:$BA11,8,FALSE)</f>
        <v>#REF!</v>
      </c>
      <c r="BR11" s="16" t="e">
        <f>VLOOKUP($BO11,$AS8:$BA11,6,FALSE)</f>
        <v>#REF!</v>
      </c>
      <c r="BS11" s="16" t="e">
        <f>IF(AND($BP10=$BP11,$BQ10=$BQ11,$BR11&gt;$BR10),$BO10,$BO11)</f>
        <v>#REF!</v>
      </c>
      <c r="BT11" s="16" t="e">
        <f>VLOOKUP($BS11,$AS8:$BA11,9,FALSE)</f>
        <v>#REF!</v>
      </c>
      <c r="BU11" s="16" t="e">
        <f>VLOOKUP($BS11,$AS8:$BA11,8,FALSE)</f>
        <v>#REF!</v>
      </c>
      <c r="BV11" s="16" t="e">
        <f>VLOOKUP($BS11,$AS8:$BA11,6,FALSE)</f>
        <v>#REF!</v>
      </c>
      <c r="BW11" s="16" t="e">
        <f>IF(AND($BT9=$BT11,$BU9=$BU11,$BV11&gt;$BV9),$BS9,$BS11)</f>
        <v>#REF!</v>
      </c>
      <c r="BX11" s="16" t="e">
        <f>VLOOKUP($BW11,$AS8:$BA11,9,FALSE)</f>
        <v>#REF!</v>
      </c>
      <c r="BY11" s="16" t="e">
        <f>VLOOKUP($BW11,$AS8:$BA11,8,FALSE)</f>
        <v>#REF!</v>
      </c>
      <c r="BZ11" s="16" t="e">
        <f>VLOOKUP($BW11,$AS8:$BA11,6,FALSE)</f>
        <v>#REF!</v>
      </c>
      <c r="CA11" s="16" t="e">
        <f>IF(AND($BX8=$BX11,$BY8=$BY11,$BZ11&gt;$BZ8),$BW8,$BW11)</f>
        <v>#REF!</v>
      </c>
      <c r="CB11" s="16" t="e">
        <f>VLOOKUP($CA11,$AS8:$BA11,9,FALSE)</f>
        <v>#REF!</v>
      </c>
      <c r="CC11" s="16" t="e">
        <f>VLOOKUP($CA11,$AS8:$BA11,8,FALSE)</f>
        <v>#REF!</v>
      </c>
      <c r="CD11" s="16" t="e">
        <f>VLOOKUP($CA11,$AS8:$BA11,6,FALSE)</f>
        <v>#REF!</v>
      </c>
      <c r="CH11" s="16" t="e">
        <f>CA11</f>
        <v>#REF!</v>
      </c>
      <c r="CI11" s="16" t="e">
        <f>VLOOKUP($CH11,$AS8:$BA11,2,FALSE)</f>
        <v>#REF!</v>
      </c>
      <c r="CJ11" s="16" t="e">
        <f>VLOOKUP($CH11,$AS8:$BA11,3,FALSE)</f>
        <v>#REF!</v>
      </c>
      <c r="CK11" s="16" t="e">
        <f>VLOOKUP($CH11,$AS8:$BA11,4,FALSE)</f>
        <v>#REF!</v>
      </c>
      <c r="CL11" s="16" t="e">
        <f>VLOOKUP($CH11,$AS8:$BA11,5,FALSE)</f>
        <v>#REF!</v>
      </c>
      <c r="CM11" s="16" t="e">
        <f>VLOOKUP($CH11,$AS8:$BA11,6,FALSE)</f>
        <v>#REF!</v>
      </c>
      <c r="CN11" s="16" t="e">
        <f>VLOOKUP($CH11,$AS8:$BA11,7,FALSE)</f>
        <v>#REF!</v>
      </c>
      <c r="CO11" s="16" t="e">
        <f>VLOOKUP($CH11,$AS8:$BA11,8,FALSE)</f>
        <v>#REF!</v>
      </c>
      <c r="CP11" s="16" t="e">
        <f>VLOOKUP($CH11,$AS8:$BA11,9,FALSE)</f>
        <v>#REF!</v>
      </c>
      <c r="CR11" s="21" t="e">
        <f>#REF!</f>
        <v>#REF!</v>
      </c>
    </row>
    <row r="12" spans="1:133" ht="12.95" customHeight="1" thickBot="1" x14ac:dyDescent="0.25">
      <c r="A12" s="520">
        <f>START!C15</f>
        <v>0.57291666666666663</v>
      </c>
      <c r="B12" s="518"/>
      <c r="C12" s="283"/>
      <c r="D12" s="24" t="str">
        <f>AS10</f>
        <v>DA3</v>
      </c>
      <c r="E12" s="283" t="s">
        <v>16</v>
      </c>
      <c r="F12" s="518" t="str">
        <f>AS11</f>
        <v>DA4</v>
      </c>
      <c r="G12" s="518"/>
      <c r="H12" s="518"/>
      <c r="I12" s="165">
        <f>KWALIFICATIE!AR39</f>
        <v>0</v>
      </c>
      <c r="J12" s="334" t="s">
        <v>16</v>
      </c>
      <c r="K12" s="166">
        <f>KWALIFICATIE!AT39</f>
        <v>0</v>
      </c>
      <c r="L12" s="518"/>
      <c r="M12" s="518"/>
      <c r="N12" s="518"/>
      <c r="O12" s="518"/>
      <c r="P12" s="519"/>
      <c r="Q12" s="118"/>
      <c r="R12" s="564"/>
      <c r="S12" s="565"/>
      <c r="T12" s="292"/>
      <c r="U12" s="291" t="e">
        <f>AS17</f>
        <v>#REF!</v>
      </c>
      <c r="V12" s="292" t="s">
        <v>16</v>
      </c>
      <c r="W12" s="565" t="e">
        <f>AS18</f>
        <v>#REF!</v>
      </c>
      <c r="X12" s="565"/>
      <c r="Y12" s="565"/>
      <c r="Z12" s="293" t="e">
        <f>KWALIFICATIE!#REF!</f>
        <v>#REF!</v>
      </c>
      <c r="AA12" s="290" t="s">
        <v>16</v>
      </c>
      <c r="AB12" s="294">
        <f>KWALIFICATIE!AF57</f>
        <v>1</v>
      </c>
      <c r="AC12" s="565"/>
      <c r="AD12" s="565"/>
      <c r="AE12" s="565"/>
      <c r="AF12" s="565"/>
      <c r="AG12" s="565"/>
      <c r="AH12" s="69" t="s">
        <v>150</v>
      </c>
      <c r="AI12" s="70" t="s">
        <v>151</v>
      </c>
      <c r="AJ12" s="71" t="e">
        <f>Z12</f>
        <v>#REF!</v>
      </c>
      <c r="AK12" s="72">
        <f>AB12</f>
        <v>1</v>
      </c>
      <c r="AL12" s="73" t="s">
        <v>152</v>
      </c>
      <c r="AM12" s="50" t="s">
        <v>153</v>
      </c>
      <c r="AN12" s="44" t="s">
        <v>154</v>
      </c>
      <c r="AO12" s="45" t="e">
        <f t="shared" si="4"/>
        <v>#REF!</v>
      </c>
      <c r="AP12" s="45" t="e">
        <f t="shared" si="5"/>
        <v>#REF!</v>
      </c>
      <c r="AQ12" s="45"/>
      <c r="CR12" s="21" t="e">
        <f>#REF!</f>
        <v>#REF!</v>
      </c>
    </row>
    <row r="13" spans="1:133" ht="12.95" customHeight="1" thickBot="1" x14ac:dyDescent="0.25">
      <c r="A13" s="520">
        <f>START!C19</f>
        <v>0.61458333333333337</v>
      </c>
      <c r="B13" s="518"/>
      <c r="C13" s="283"/>
      <c r="D13" s="24" t="str">
        <f>AS8</f>
        <v>DA1</v>
      </c>
      <c r="E13" s="283" t="s">
        <v>16</v>
      </c>
      <c r="F13" s="518" t="str">
        <f>AS10</f>
        <v>DA3</v>
      </c>
      <c r="G13" s="518"/>
      <c r="H13" s="518"/>
      <c r="I13" s="165" t="e">
        <f>EINDRONDE!#REF!</f>
        <v>#REF!</v>
      </c>
      <c r="J13" s="334" t="s">
        <v>16</v>
      </c>
      <c r="K13" s="166" t="e">
        <f>EINDRONDE!#REF!</f>
        <v>#REF!</v>
      </c>
      <c r="L13" s="518"/>
      <c r="M13" s="518"/>
      <c r="N13" s="518"/>
      <c r="O13" s="518"/>
      <c r="P13" s="519"/>
      <c r="Q13" s="118"/>
      <c r="R13" s="564"/>
      <c r="S13" s="565"/>
      <c r="T13" s="292"/>
      <c r="U13" s="291" t="e">
        <f>AS15</f>
        <v>#REF!</v>
      </c>
      <c r="V13" s="292" t="s">
        <v>16</v>
      </c>
      <c r="W13" s="565" t="e">
        <f>AS17</f>
        <v>#REF!</v>
      </c>
      <c r="X13" s="565"/>
      <c r="Y13" s="565"/>
      <c r="Z13" s="293">
        <f>KWALIFICATIE!AD56</f>
        <v>1</v>
      </c>
      <c r="AA13" s="290" t="s">
        <v>16</v>
      </c>
      <c r="AB13" s="294">
        <f>KWALIFICATIE!AF56</f>
        <v>0</v>
      </c>
      <c r="AC13" s="565"/>
      <c r="AD13" s="565"/>
      <c r="AE13" s="565"/>
      <c r="AF13" s="565"/>
      <c r="AG13" s="565"/>
      <c r="AH13" s="69" t="s">
        <v>155</v>
      </c>
      <c r="AI13" s="70" t="s">
        <v>156</v>
      </c>
      <c r="AJ13" s="71">
        <f>Z42</f>
        <v>0</v>
      </c>
      <c r="AK13" s="72">
        <f>AB42</f>
        <v>0</v>
      </c>
      <c r="AL13" s="73" t="s">
        <v>157</v>
      </c>
      <c r="AM13" s="50" t="s">
        <v>158</v>
      </c>
      <c r="AN13" s="44" t="s">
        <v>127</v>
      </c>
      <c r="AO13" s="45" t="str">
        <f t="shared" si="4"/>
        <v>Draw</v>
      </c>
      <c r="AP13" s="45" t="str">
        <f t="shared" si="5"/>
        <v>Draw</v>
      </c>
      <c r="AQ13" s="45"/>
      <c r="AS13" s="16" t="s">
        <v>159</v>
      </c>
      <c r="CR13" s="21" t="e">
        <f>#REF!</f>
        <v>#REF!</v>
      </c>
      <c r="EC13" s="337"/>
    </row>
    <row r="14" spans="1:133" ht="12.95" customHeight="1" thickBot="1" x14ac:dyDescent="0.25">
      <c r="A14" s="520">
        <f>START!C20</f>
        <v>0.625</v>
      </c>
      <c r="B14" s="518"/>
      <c r="C14" s="283"/>
      <c r="D14" s="24" t="str">
        <f>AS11</f>
        <v>DA4</v>
      </c>
      <c r="E14" s="283" t="s">
        <v>16</v>
      </c>
      <c r="F14" s="518" t="str">
        <f>AS9</f>
        <v>DA2</v>
      </c>
      <c r="G14" s="518"/>
      <c r="H14" s="518"/>
      <c r="I14" s="165">
        <f>EINDRONDE!AD21</f>
        <v>4</v>
      </c>
      <c r="J14" s="334" t="s">
        <v>16</v>
      </c>
      <c r="K14" s="166">
        <f>EINDRONDE!AF21</f>
        <v>0</v>
      </c>
      <c r="L14" s="518"/>
      <c r="M14" s="518"/>
      <c r="N14" s="518"/>
      <c r="O14" s="518"/>
      <c r="P14" s="519"/>
      <c r="Q14" s="118"/>
      <c r="R14" s="564"/>
      <c r="S14" s="565"/>
      <c r="T14" s="292"/>
      <c r="U14" s="291" t="e">
        <f>AS18</f>
        <v>#REF!</v>
      </c>
      <c r="V14" s="292" t="s">
        <v>16</v>
      </c>
      <c r="W14" s="565" t="e">
        <f>AS16</f>
        <v>#REF!</v>
      </c>
      <c r="X14" s="565"/>
      <c r="Y14" s="565"/>
      <c r="Z14" s="293">
        <f>KWALIFICATIE!AD57</f>
        <v>0</v>
      </c>
      <c r="AA14" s="290" t="s">
        <v>16</v>
      </c>
      <c r="AB14" s="294">
        <f>KWALIFICATIE!AF57</f>
        <v>1</v>
      </c>
      <c r="AC14" s="565"/>
      <c r="AD14" s="565"/>
      <c r="AE14" s="565"/>
      <c r="AF14" s="565"/>
      <c r="AG14" s="565"/>
      <c r="AH14" s="69" t="s">
        <v>160</v>
      </c>
      <c r="AI14" s="70" t="s">
        <v>161</v>
      </c>
      <c r="AJ14" s="71" t="e">
        <f>Z11</f>
        <v>#REF!</v>
      </c>
      <c r="AK14" s="72" t="e">
        <f>AB11</f>
        <v>#REF!</v>
      </c>
      <c r="AL14" s="73" t="s">
        <v>162</v>
      </c>
      <c r="AM14" s="50" t="s">
        <v>163</v>
      </c>
      <c r="AN14" s="44" t="s">
        <v>154</v>
      </c>
      <c r="AO14" s="45" t="e">
        <f t="shared" si="4"/>
        <v>#REF!</v>
      </c>
      <c r="AP14" s="45" t="e">
        <f t="shared" si="5"/>
        <v>#REF!</v>
      </c>
      <c r="AQ14" s="45"/>
      <c r="AT14" s="16" t="s">
        <v>124</v>
      </c>
      <c r="AU14" s="16" t="s">
        <v>110</v>
      </c>
      <c r="AV14" s="16" t="s">
        <v>125</v>
      </c>
      <c r="AW14" s="16" t="s">
        <v>126</v>
      </c>
      <c r="AX14" s="16" t="s">
        <v>127</v>
      </c>
      <c r="AY14" s="16" t="s">
        <v>123</v>
      </c>
      <c r="AZ14" s="16" t="s">
        <v>128</v>
      </c>
      <c r="BA14" s="16" t="s">
        <v>129</v>
      </c>
      <c r="CR14" s="21" t="e">
        <f>#REF!</f>
        <v>#REF!</v>
      </c>
    </row>
    <row r="15" spans="1:133" ht="12.95" customHeight="1" thickBot="1" x14ac:dyDescent="0.25">
      <c r="A15" s="520">
        <f>START!C23</f>
        <v>0.65625</v>
      </c>
      <c r="B15" s="518"/>
      <c r="C15" s="283"/>
      <c r="D15" s="24" t="str">
        <f>AS9</f>
        <v>DA2</v>
      </c>
      <c r="E15" s="283" t="s">
        <v>16</v>
      </c>
      <c r="F15" s="518" t="str">
        <f>AS10</f>
        <v>DA3</v>
      </c>
      <c r="G15" s="518"/>
      <c r="H15" s="518"/>
      <c r="I15" s="165" t="e">
        <f>EINDRONDE!#REF!</f>
        <v>#REF!</v>
      </c>
      <c r="J15" s="334" t="s">
        <v>16</v>
      </c>
      <c r="K15" s="166" t="e">
        <f>EINDRONDE!#REF!</f>
        <v>#REF!</v>
      </c>
      <c r="L15" s="518"/>
      <c r="M15" s="518"/>
      <c r="N15" s="518"/>
      <c r="O15" s="518"/>
      <c r="P15" s="519"/>
      <c r="Q15" s="118"/>
      <c r="R15" s="564"/>
      <c r="S15" s="565"/>
      <c r="T15" s="292"/>
      <c r="U15" s="291" t="e">
        <f>AS16</f>
        <v>#REF!</v>
      </c>
      <c r="V15" s="292" t="s">
        <v>16</v>
      </c>
      <c r="W15" s="565" t="e">
        <f>AS17</f>
        <v>#REF!</v>
      </c>
      <c r="X15" s="565"/>
      <c r="Y15" s="565"/>
      <c r="Z15" s="293">
        <f>EINDRONDE!O33</f>
        <v>0</v>
      </c>
      <c r="AA15" s="290" t="s">
        <v>16</v>
      </c>
      <c r="AB15" s="294">
        <f>EINDRONDE!Q33</f>
        <v>0</v>
      </c>
      <c r="AC15" s="565"/>
      <c r="AD15" s="565"/>
      <c r="AE15" s="565"/>
      <c r="AF15" s="565"/>
      <c r="AG15" s="565"/>
      <c r="AH15" s="69" t="s">
        <v>164</v>
      </c>
      <c r="AI15" s="70" t="s">
        <v>165</v>
      </c>
      <c r="AJ15" s="71">
        <f>I58</f>
        <v>0</v>
      </c>
      <c r="AK15" s="72">
        <f>K58</f>
        <v>0</v>
      </c>
      <c r="AL15" s="73" t="s">
        <v>166</v>
      </c>
      <c r="AM15" s="50" t="s">
        <v>167</v>
      </c>
      <c r="AN15" s="44" t="s">
        <v>111</v>
      </c>
      <c r="AO15" s="45" t="str">
        <f t="shared" si="4"/>
        <v>Draw</v>
      </c>
      <c r="AP15" s="45" t="str">
        <f t="shared" si="5"/>
        <v>Draw</v>
      </c>
      <c r="AQ15" s="45"/>
      <c r="AS15" s="16" t="e">
        <f>KWALIFICATIE!#REF!</f>
        <v>#REF!</v>
      </c>
      <c r="AT15" s="16">
        <f>COUNT(Spain_Played)</f>
        <v>2</v>
      </c>
      <c r="AU15" s="16">
        <f>COUNTIF(Groupstage_Winners,"Spain")</f>
        <v>1</v>
      </c>
      <c r="AV15" s="16">
        <f>COUNTIF(Groupstage_Losers,"Spain")</f>
        <v>1</v>
      </c>
      <c r="AW15" s="16">
        <f>AT15-(AU15+AV15)</f>
        <v>0</v>
      </c>
      <c r="AX15" s="16" t="e">
        <f>SUM(Spain_Played)</f>
        <v>#REF!</v>
      </c>
      <c r="AY15" s="16" t="e">
        <f>SUM(Spain_Against)</f>
        <v>#REF!</v>
      </c>
      <c r="AZ15" s="16" t="e">
        <f>AX15-AY15</f>
        <v>#REF!</v>
      </c>
      <c r="BA15" s="16">
        <v>0</v>
      </c>
      <c r="BB15" s="16" t="e">
        <f>IF($BA15&gt;=$BA16,$AS15,$AS16)</f>
        <v>#REF!</v>
      </c>
      <c r="BC15" s="16" t="e">
        <f>VLOOKUP($BB15,$AS15:$BA18,9,FALSE)</f>
        <v>#REF!</v>
      </c>
      <c r="BD15" s="16" t="e">
        <f>IF($BC15&gt;=$BC17,$BB15,$BB17)</f>
        <v>#REF!</v>
      </c>
      <c r="BE15" s="16" t="e">
        <f>VLOOKUP($BD15,$AS15:$BA18,9,FALSE)</f>
        <v>#REF!</v>
      </c>
      <c r="BF15" s="16" t="e">
        <f>IF($BE15&gt;=$BE18,$BD15,$BD18)</f>
        <v>#REF!</v>
      </c>
      <c r="BG15" s="16" t="e">
        <f>VLOOKUP($BF15,$AS15:$BA18,9,FALSE)</f>
        <v>#REF!</v>
      </c>
      <c r="BH15" s="16" t="e">
        <f>VLOOKUP($BF15,$AS15:$BA18,8,FALSE)</f>
        <v>#REF!</v>
      </c>
      <c r="BI15" s="16" t="e">
        <f>IF(AND($BG15=$BG16,$BH16&gt;$BH15),$BF16,$BF15)</f>
        <v>#REF!</v>
      </c>
      <c r="BJ15" s="16" t="e">
        <f>VLOOKUP($BI15,$AS15:$BA18,9,FALSE)</f>
        <v>#REF!</v>
      </c>
      <c r="BK15" s="16" t="e">
        <f>VLOOKUP($BI15,$AS15:$BA18,8,FALSE)</f>
        <v>#REF!</v>
      </c>
      <c r="BL15" s="16" t="e">
        <f>IF(AND($BJ15=$BJ17,$BK17&gt;$BK15),$BI17,$BI15)</f>
        <v>#REF!</v>
      </c>
      <c r="BM15" s="16" t="e">
        <f>VLOOKUP($BL15,$AS15:$BA18,9,FALSE)</f>
        <v>#REF!</v>
      </c>
      <c r="BN15" s="16" t="e">
        <f>VLOOKUP($BL15,$AS15:$BA18,8,FALSE)</f>
        <v>#REF!</v>
      </c>
      <c r="BO15" s="16" t="e">
        <f>IF(AND($BM15=$BM18,$BN18&gt;$BN15),$BL18,$BL15)</f>
        <v>#REF!</v>
      </c>
      <c r="BP15" s="16" t="e">
        <f>VLOOKUP($BO15,$AS15:$BA18,9,FALSE)</f>
        <v>#REF!</v>
      </c>
      <c r="BQ15" s="16" t="e">
        <f>VLOOKUP($BO15,$AS15:$BA18,8,FALSE)</f>
        <v>#REF!</v>
      </c>
      <c r="BR15" s="16" t="e">
        <f>VLOOKUP($BO15,$AS15:$BA18,6,FALSE)</f>
        <v>#REF!</v>
      </c>
      <c r="BS15" s="16" t="e">
        <f>IF(AND($BP15=$BP16,$BQ15=$BQ16,$BR16&gt;$BR15),$BO16,$BO15)</f>
        <v>#REF!</v>
      </c>
      <c r="BT15" s="16" t="e">
        <f>VLOOKUP($BS15,$AS15:$BA18,9,FALSE)</f>
        <v>#REF!</v>
      </c>
      <c r="BU15" s="16" t="e">
        <f>VLOOKUP($BS15,$AS15:$BA18,8,FALSE)</f>
        <v>#REF!</v>
      </c>
      <c r="BV15" s="16" t="e">
        <f>VLOOKUP($BS15,$AS15:$BA18,6,FALSE)</f>
        <v>#REF!</v>
      </c>
      <c r="BW15" s="16" t="e">
        <f>IF(AND($BT15=$BT17,$BU15=$BU17,$BV17&gt;$BV15),$BS17,$BS15)</f>
        <v>#REF!</v>
      </c>
      <c r="BX15" s="16" t="e">
        <f>VLOOKUP($BW15,$AS15:$BA18,9,FALSE)</f>
        <v>#REF!</v>
      </c>
      <c r="BY15" s="16" t="e">
        <f>VLOOKUP($BW15,$AS15:$BA18,8,FALSE)</f>
        <v>#REF!</v>
      </c>
      <c r="BZ15" s="16" t="e">
        <f>VLOOKUP($BW15,$AS15:$BA18,6,FALSE)</f>
        <v>#REF!</v>
      </c>
      <c r="CA15" s="16" t="e">
        <f>IF(AND($BX15=$BX18,$BY15=$BY18,$BZ18&gt;$BZ15),$BW18,$BW15)</f>
        <v>#REF!</v>
      </c>
      <c r="CB15" s="16" t="e">
        <f>VLOOKUP($CA15,$AS15:$BA18,9,FALSE)</f>
        <v>#REF!</v>
      </c>
      <c r="CC15" s="16" t="e">
        <f>VLOOKUP($CA15,$AS15:$BA18,8,FALSE)</f>
        <v>#REF!</v>
      </c>
      <c r="CD15" s="16" t="e">
        <f>VLOOKUP($CA15,$AS15:$BA18,6,FALSE)</f>
        <v>#REF!</v>
      </c>
      <c r="CH15" s="16" t="e">
        <f>CA15</f>
        <v>#REF!</v>
      </c>
      <c r="CI15" s="16" t="e">
        <f>VLOOKUP($CH15,$AS15:$BA18,2,FALSE)</f>
        <v>#REF!</v>
      </c>
      <c r="CJ15" s="16" t="e">
        <f>VLOOKUP($CH15,$AS15:$BA18,3,FALSE)</f>
        <v>#REF!</v>
      </c>
      <c r="CK15" s="16" t="e">
        <f>VLOOKUP($CH15,$AS15:$BA18,4,FALSE)</f>
        <v>#REF!</v>
      </c>
      <c r="CL15" s="16" t="e">
        <f>VLOOKUP($CH15,$AS15:$BA18,5,FALSE)</f>
        <v>#REF!</v>
      </c>
      <c r="CM15" s="16" t="e">
        <f>VLOOKUP($CH15,$AS15:$BA18,6,FALSE)</f>
        <v>#REF!</v>
      </c>
      <c r="CN15" s="16" t="e">
        <f>VLOOKUP($CH15,$AS15:$BA18,7,FALSE)</f>
        <v>#REF!</v>
      </c>
      <c r="CO15" s="16" t="e">
        <f>VLOOKUP($CH15,$AS15:$BA18,8,FALSE)</f>
        <v>#REF!</v>
      </c>
      <c r="CP15" s="16" t="e">
        <f>VLOOKUP($CH15,$AS15:$BA18,9,FALSE)</f>
        <v>#REF!</v>
      </c>
      <c r="CR15" s="21" t="e">
        <f>#REF!</f>
        <v>#REF!</v>
      </c>
    </row>
    <row r="16" spans="1:133" ht="12.95" customHeight="1" thickBot="1" x14ac:dyDescent="0.25">
      <c r="A16" s="528">
        <f>START!C24</f>
        <v>0.66666666666666663</v>
      </c>
      <c r="B16" s="529"/>
      <c r="C16" s="272"/>
      <c r="D16" s="30" t="str">
        <f>AS11</f>
        <v>DA4</v>
      </c>
      <c r="E16" s="272" t="s">
        <v>16</v>
      </c>
      <c r="F16" s="529" t="str">
        <f>AS8</f>
        <v>DA1</v>
      </c>
      <c r="G16" s="529"/>
      <c r="H16" s="529"/>
      <c r="I16" s="248" t="e">
        <f>EINDRONDE!#REF!</f>
        <v>#REF!</v>
      </c>
      <c r="J16" s="247" t="s">
        <v>16</v>
      </c>
      <c r="K16" s="249" t="e">
        <f>EINDRONDE!#REF!</f>
        <v>#REF!</v>
      </c>
      <c r="L16" s="529"/>
      <c r="M16" s="529"/>
      <c r="N16" s="529"/>
      <c r="O16" s="529"/>
      <c r="P16" s="530"/>
      <c r="Q16" s="118"/>
      <c r="R16" s="564"/>
      <c r="S16" s="565"/>
      <c r="T16" s="292"/>
      <c r="U16" s="291" t="e">
        <f>AS18</f>
        <v>#REF!</v>
      </c>
      <c r="V16" s="292" t="s">
        <v>16</v>
      </c>
      <c r="W16" s="565" t="e">
        <f>AS15</f>
        <v>#REF!</v>
      </c>
      <c r="X16" s="565"/>
      <c r="Y16" s="565"/>
      <c r="Z16" s="293">
        <f>EINDRONDE!O34</f>
        <v>4</v>
      </c>
      <c r="AA16" s="290" t="s">
        <v>16</v>
      </c>
      <c r="AB16" s="294">
        <f>EINDRONDE!Q34</f>
        <v>0</v>
      </c>
      <c r="AC16" s="565"/>
      <c r="AD16" s="565"/>
      <c r="AE16" s="565"/>
      <c r="AF16" s="565"/>
      <c r="AG16" s="565"/>
      <c r="AH16" s="69" t="s">
        <v>168</v>
      </c>
      <c r="AI16" s="70" t="s">
        <v>169</v>
      </c>
      <c r="AJ16" s="71">
        <f>I26</f>
        <v>0</v>
      </c>
      <c r="AK16" s="72">
        <f>K26</f>
        <v>0</v>
      </c>
      <c r="AL16" s="73" t="s">
        <v>170</v>
      </c>
      <c r="AM16" s="50" t="s">
        <v>171</v>
      </c>
      <c r="AN16" s="44" t="s">
        <v>172</v>
      </c>
      <c r="AO16" s="45" t="str">
        <f t="shared" si="4"/>
        <v>Draw</v>
      </c>
      <c r="AP16" s="45" t="str">
        <f t="shared" si="5"/>
        <v>Draw</v>
      </c>
      <c r="AQ16" s="45"/>
      <c r="AS16" s="16" t="e">
        <f>KWALIFICATIE!#REF!</f>
        <v>#REF!</v>
      </c>
      <c r="AT16" s="16">
        <f>COUNT(Slovenia_Played)</f>
        <v>2</v>
      </c>
      <c r="AU16" s="16">
        <f>COUNTIF(Groupstage_Winners,"Slovenia")</f>
        <v>1</v>
      </c>
      <c r="AV16" s="16">
        <f>COUNTIF(Groupstage_Losers,"Slovenia")</f>
        <v>0</v>
      </c>
      <c r="AW16" s="16">
        <f>AT16-(AU16+AV16)</f>
        <v>1</v>
      </c>
      <c r="AX16" s="16" t="e">
        <f>SUM(Slovenia_Played)</f>
        <v>#REF!</v>
      </c>
      <c r="AY16" s="16" t="e">
        <f>SUM(Slovenia_Against)</f>
        <v>#REF!</v>
      </c>
      <c r="AZ16" s="16" t="e">
        <f>AX16-AY16</f>
        <v>#REF!</v>
      </c>
      <c r="BA16" s="16">
        <v>0</v>
      </c>
      <c r="BB16" s="16" t="e">
        <f>IF($BA16&lt;=$BA15,$AS16,$AS15)</f>
        <v>#REF!</v>
      </c>
      <c r="BC16" s="16" t="e">
        <f>VLOOKUP($BB16,$AS15:$BA18,9,FALSE)</f>
        <v>#REF!</v>
      </c>
      <c r="BD16" s="16" t="e">
        <f>IF(BC16&gt;=BC18,BB16,BB18)</f>
        <v>#REF!</v>
      </c>
      <c r="BE16" s="16" t="e">
        <f>VLOOKUP($BD16,$AS15:$BA18,9,FALSE)</f>
        <v>#REF!</v>
      </c>
      <c r="BF16" s="16" t="e">
        <f>IF($BE16&gt;=$BE17,$BD16,$BD17)</f>
        <v>#REF!</v>
      </c>
      <c r="BG16" s="16" t="e">
        <f>VLOOKUP($BF16,$AS15:$BA18,9,FALSE)</f>
        <v>#REF!</v>
      </c>
      <c r="BH16" s="16" t="e">
        <f>VLOOKUP($BF16,$AS15:$BA18,8,FALSE)</f>
        <v>#REF!</v>
      </c>
      <c r="BI16" s="16" t="e">
        <f>IF(AND($BG15=$BG16,$BH16&gt;$BH15),$BF15,$BF16)</f>
        <v>#REF!</v>
      </c>
      <c r="BJ16" s="16" t="e">
        <f>VLOOKUP($BI16,$AS15:$BA18,9,FALSE)</f>
        <v>#REF!</v>
      </c>
      <c r="BK16" s="16" t="e">
        <f>VLOOKUP($BI16,$AS15:$BA18,8,FALSE)</f>
        <v>#REF!</v>
      </c>
      <c r="BL16" s="16" t="e">
        <f>IF(AND($BJ16=$BJ18,$BK18&gt;$BK16),$BI18,$BI16)</f>
        <v>#REF!</v>
      </c>
      <c r="BM16" s="16" t="e">
        <f>VLOOKUP($BL16,$AS15:$BA18,9,FALSE)</f>
        <v>#REF!</v>
      </c>
      <c r="BN16" s="16" t="e">
        <f>VLOOKUP($BL16,$AS15:$BA18,8,FALSE)</f>
        <v>#REF!</v>
      </c>
      <c r="BO16" s="16" t="e">
        <f>IF(AND($BM16=$BM17,$BN17&gt;$BN16),$BL17,$BL16)</f>
        <v>#REF!</v>
      </c>
      <c r="BP16" s="16" t="e">
        <f>VLOOKUP($BO16,$AS15:$BA18,9,FALSE)</f>
        <v>#REF!</v>
      </c>
      <c r="BQ16" s="16" t="e">
        <f>VLOOKUP($BO16,$AS15:$BA18,8,FALSE)</f>
        <v>#REF!</v>
      </c>
      <c r="BR16" s="16" t="e">
        <f>VLOOKUP($BO16,$AS15:$BA18,6,FALSE)</f>
        <v>#REF!</v>
      </c>
      <c r="BS16" s="16" t="e">
        <f>IF(AND($BP15=$BP16,$BQ15=$BQ16,$BR16&gt;$BR15),$BO15,$BO16)</f>
        <v>#REF!</v>
      </c>
      <c r="BT16" s="16" t="e">
        <f>VLOOKUP($BS16,$AS15:$BA18,9,FALSE)</f>
        <v>#REF!</v>
      </c>
      <c r="BU16" s="16" t="e">
        <f>VLOOKUP($BS16,$AS15:$BA18,8,FALSE)</f>
        <v>#REF!</v>
      </c>
      <c r="BV16" s="16" t="e">
        <f>VLOOKUP($BS16,$AS15:$BA18,6,FALSE)</f>
        <v>#REF!</v>
      </c>
      <c r="BW16" s="16" t="e">
        <f>IF(AND($BT16=$BT18,$BU16=$BU18,$BV18&gt;$BV16),$BS18,$BS16)</f>
        <v>#REF!</v>
      </c>
      <c r="BX16" s="16" t="e">
        <f>VLOOKUP($BW16,$AS15:$BA18,9,FALSE)</f>
        <v>#REF!</v>
      </c>
      <c r="BY16" s="16" t="e">
        <f>VLOOKUP($BW16,$AS15:$BA18,8,FALSE)</f>
        <v>#REF!</v>
      </c>
      <c r="BZ16" s="16" t="e">
        <f>VLOOKUP($BW16,$AS15:$BA18,6,FALSE)</f>
        <v>#REF!</v>
      </c>
      <c r="CA16" s="16" t="e">
        <f>IF(AND($BX16=$BX17,$BY16=$BY17,$BZ17&gt;$BZ16),$BW17,$BW16)</f>
        <v>#REF!</v>
      </c>
      <c r="CB16" s="16" t="e">
        <f>VLOOKUP($CA16,$AS15:$BA18,9,FALSE)</f>
        <v>#REF!</v>
      </c>
      <c r="CC16" s="16" t="e">
        <f>VLOOKUP($CA16,$AS15:$BA18,8,FALSE)</f>
        <v>#REF!</v>
      </c>
      <c r="CD16" s="16" t="e">
        <f>VLOOKUP($CA16,$AS15:$BA18,6,FALSE)</f>
        <v>#REF!</v>
      </c>
      <c r="CH16" s="16" t="e">
        <f>CA16</f>
        <v>#REF!</v>
      </c>
      <c r="CI16" s="16" t="e">
        <f>VLOOKUP($CH16,$AS15:$BA18,2,FALSE)</f>
        <v>#REF!</v>
      </c>
      <c r="CJ16" s="16" t="e">
        <f>VLOOKUP($CH16,$AS15:$BA18,3,FALSE)</f>
        <v>#REF!</v>
      </c>
      <c r="CK16" s="16" t="e">
        <f>VLOOKUP($CH16,$AS15:$BA18,4,FALSE)</f>
        <v>#REF!</v>
      </c>
      <c r="CL16" s="16" t="e">
        <f>VLOOKUP($CH16,$AS15:$BA18,5,FALSE)</f>
        <v>#REF!</v>
      </c>
      <c r="CM16" s="16" t="e">
        <f>VLOOKUP($CH16,$AS15:$BA18,6,FALSE)</f>
        <v>#REF!</v>
      </c>
      <c r="CN16" s="16" t="e">
        <f>VLOOKUP($CH16,$AS15:$BA18,7,FALSE)</f>
        <v>#REF!</v>
      </c>
      <c r="CO16" s="16" t="e">
        <f>VLOOKUP($CH16,$AS15:$BA18,8,FALSE)</f>
        <v>#REF!</v>
      </c>
      <c r="CP16" s="16" t="e">
        <f>VLOOKUP($CH16,$AS15:$BA18,9,FALSE)</f>
        <v>#REF!</v>
      </c>
      <c r="CR16" s="21" t="e">
        <f>#REF!</f>
        <v>#REF!</v>
      </c>
    </row>
    <row r="17" spans="1:96" ht="13.5" thickBot="1" x14ac:dyDescent="0.25">
      <c r="A17" s="260"/>
      <c r="B17" s="260"/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74" t="s">
        <v>173</v>
      </c>
      <c r="AI17" s="70" t="s">
        <v>174</v>
      </c>
      <c r="AJ17" s="71">
        <f>I57</f>
        <v>0</v>
      </c>
      <c r="AK17" s="72">
        <f>K57</f>
        <v>0</v>
      </c>
      <c r="AL17" s="73" t="s">
        <v>175</v>
      </c>
      <c r="AM17" s="52" t="s">
        <v>176</v>
      </c>
      <c r="AN17" s="44" t="s">
        <v>111</v>
      </c>
      <c r="AO17" s="45" t="str">
        <f t="shared" si="4"/>
        <v>Draw</v>
      </c>
      <c r="AP17" s="45" t="str">
        <f t="shared" si="5"/>
        <v>Draw</v>
      </c>
      <c r="AQ17" s="45"/>
      <c r="AS17" s="16" t="e">
        <f>KWALIFICATIE!#REF!</f>
        <v>#REF!</v>
      </c>
      <c r="AT17" s="16">
        <f>COUNT(Paraguay_Played)</f>
        <v>2</v>
      </c>
      <c r="AU17" s="16">
        <f>COUNTIF(Groupstage_Winners,"Paraguay")</f>
        <v>0</v>
      </c>
      <c r="AV17" s="16">
        <f>COUNTIF(Groupstage_Losers,"Paraguay")</f>
        <v>1</v>
      </c>
      <c r="AW17" s="16">
        <f>AT17-(AU17+AV17)</f>
        <v>1</v>
      </c>
      <c r="AX17" s="16" t="e">
        <f>SUM(Paraguay_Played)</f>
        <v>#REF!</v>
      </c>
      <c r="AY17" s="16">
        <f>SUM(Paraguay_Against)</f>
        <v>2</v>
      </c>
      <c r="AZ17" s="16" t="e">
        <f>AX17-AY17</f>
        <v>#REF!</v>
      </c>
      <c r="BA17" s="16">
        <v>0</v>
      </c>
      <c r="BB17" s="16" t="e">
        <f>IF($BA17&gt;=$BA18,$AS17,$AS18)</f>
        <v>#REF!</v>
      </c>
      <c r="BC17" s="16" t="e">
        <f>VLOOKUP($BB17,$AS15:$BA18,9,FALSE)</f>
        <v>#REF!</v>
      </c>
      <c r="BD17" s="16" t="e">
        <f>IF($BC17&lt;=$BC15,$BB17,$BB15)</f>
        <v>#REF!</v>
      </c>
      <c r="BE17" s="16" t="e">
        <f>VLOOKUP($BD17,$AS15:$BA18,9,FALSE)</f>
        <v>#REF!</v>
      </c>
      <c r="BF17" s="16" t="e">
        <f>IF($BE17&lt;=$BE16,$BD17,$BD16)</f>
        <v>#REF!</v>
      </c>
      <c r="BG17" s="16" t="e">
        <f>VLOOKUP($BF17,$AS15:$BA18,9,FALSE)</f>
        <v>#REF!</v>
      </c>
      <c r="BH17" s="16" t="e">
        <f>VLOOKUP($BF17,$AS15:$BA18,8,FALSE)</f>
        <v>#REF!</v>
      </c>
      <c r="BI17" s="16" t="e">
        <f>IF(AND($BG17=$BG18,$BH18&gt;$BH17),$BF18,$BF17)</f>
        <v>#REF!</v>
      </c>
      <c r="BJ17" s="16" t="e">
        <f>VLOOKUP($BI17,$AS15:$BA18,9,FALSE)</f>
        <v>#REF!</v>
      </c>
      <c r="BK17" s="16" t="e">
        <f>VLOOKUP($BI17,$AS15:$BA18,8,FALSE)</f>
        <v>#REF!</v>
      </c>
      <c r="BL17" s="16" t="e">
        <f>IF(AND($BJ15=$BJ17,$BK17&gt;$BK15),$BI15,$BI17)</f>
        <v>#REF!</v>
      </c>
      <c r="BM17" s="16" t="e">
        <f>VLOOKUP($BL17,$AS15:$BA18,9,FALSE)</f>
        <v>#REF!</v>
      </c>
      <c r="BN17" s="16" t="e">
        <f>VLOOKUP($BL17,$AS15:$BA18,8,FALSE)</f>
        <v>#REF!</v>
      </c>
      <c r="BO17" s="16" t="e">
        <f>IF(AND($BM16=$BM17,$BN17&gt;$BN16),$BL16,$BL17)</f>
        <v>#REF!</v>
      </c>
      <c r="BP17" s="16" t="e">
        <f>VLOOKUP($BO17,$AS15:$BA18,9,FALSE)</f>
        <v>#REF!</v>
      </c>
      <c r="BQ17" s="16" t="e">
        <f>VLOOKUP($BO17,$AS15:$BA18,8,FALSE)</f>
        <v>#REF!</v>
      </c>
      <c r="BR17" s="16" t="e">
        <f>VLOOKUP($BO17,$AS15:$BA18,6,FALSE)</f>
        <v>#REF!</v>
      </c>
      <c r="BS17" s="16" t="e">
        <f>IF(AND($BP17=$BP18,$BQ17=$BQ18,$BR18&gt;$BR17),$BO18,$BO17)</f>
        <v>#REF!</v>
      </c>
      <c r="BT17" s="16" t="e">
        <f>VLOOKUP($BS17,$AS15:$BA18,9,FALSE)</f>
        <v>#REF!</v>
      </c>
      <c r="BU17" s="16" t="e">
        <f>VLOOKUP($BS17,$AS15:$BA18,8,FALSE)</f>
        <v>#REF!</v>
      </c>
      <c r="BV17" s="16" t="e">
        <f>VLOOKUP($BS17,$AS15:$BA18,6,FALSE)</f>
        <v>#REF!</v>
      </c>
      <c r="BW17" s="16" t="e">
        <f>IF(AND($BT15=$BT17,$BU15=$BU17,$BV16&gt;$BV15),$BS15,$BS17)</f>
        <v>#REF!</v>
      </c>
      <c r="BX17" s="16" t="e">
        <f>VLOOKUP($BW17,$AS15:$BA18,9,FALSE)</f>
        <v>#REF!</v>
      </c>
      <c r="BY17" s="16" t="e">
        <f>VLOOKUP($BW17,$AS15:$BA18,8,FALSE)</f>
        <v>#REF!</v>
      </c>
      <c r="BZ17" s="16" t="e">
        <f>VLOOKUP($BW17,$AS15:$BA18,6,FALSE)</f>
        <v>#REF!</v>
      </c>
      <c r="CA17" s="16" t="e">
        <f>IF(AND($BX16=$BX17,$BY16=$BY17,$BZ17&gt;$BZ16),$BW16,$BW17)</f>
        <v>#REF!</v>
      </c>
      <c r="CB17" s="16" t="e">
        <f>VLOOKUP($CA17,$AS15:$BA18,9,FALSE)</f>
        <v>#REF!</v>
      </c>
      <c r="CC17" s="16" t="e">
        <f>VLOOKUP($CA17,$AS15:$BA18,8,FALSE)</f>
        <v>#REF!</v>
      </c>
      <c r="CD17" s="16" t="e">
        <f>VLOOKUP($CA17,$AS15:$BA18,6,FALSE)</f>
        <v>#REF!</v>
      </c>
      <c r="CH17" s="16" t="e">
        <f>CA17</f>
        <v>#REF!</v>
      </c>
      <c r="CI17" s="16" t="e">
        <f>VLOOKUP($CH17,$AS15:$BA18,2,FALSE)</f>
        <v>#REF!</v>
      </c>
      <c r="CJ17" s="16" t="e">
        <f>VLOOKUP($CH17,$AS15:$BA18,3,FALSE)</f>
        <v>#REF!</v>
      </c>
      <c r="CK17" s="16" t="e">
        <f>VLOOKUP($CH17,$AS15:$BA18,4,FALSE)</f>
        <v>#REF!</v>
      </c>
      <c r="CL17" s="16" t="e">
        <f>VLOOKUP($CH17,$AS15:$BA18,5,FALSE)</f>
        <v>#REF!</v>
      </c>
      <c r="CM17" s="16" t="e">
        <f>VLOOKUP($CH17,$AS15:$BA18,6,FALSE)</f>
        <v>#REF!</v>
      </c>
      <c r="CN17" s="16" t="e">
        <f>VLOOKUP($CH17,$AS15:$BA18,7,FALSE)</f>
        <v>#REF!</v>
      </c>
      <c r="CO17" s="16" t="e">
        <f>VLOOKUP($CH17,$AS15:$BA18,8,FALSE)</f>
        <v>#REF!</v>
      </c>
      <c r="CP17" s="16" t="e">
        <f>VLOOKUP($CH17,$AS15:$BA18,9,FALSE)</f>
        <v>#REF!</v>
      </c>
      <c r="CR17" s="21" t="e">
        <f>#REF!</f>
        <v>#REF!</v>
      </c>
    </row>
    <row r="18" spans="1:96" ht="18.75" thickBot="1" x14ac:dyDescent="0.3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262"/>
      <c r="R18" s="560"/>
      <c r="S18" s="560"/>
      <c r="T18" s="560"/>
      <c r="U18" s="560"/>
      <c r="V18" s="560"/>
      <c r="W18" s="560"/>
      <c r="X18" s="560"/>
      <c r="Y18" s="560"/>
      <c r="Z18" s="560"/>
      <c r="AA18" s="560"/>
      <c r="AB18" s="560"/>
      <c r="AC18" s="560"/>
      <c r="AD18" s="560"/>
      <c r="AE18" s="560"/>
      <c r="AF18" s="560"/>
      <c r="AG18" s="560"/>
      <c r="AH18" s="70" t="s">
        <v>177</v>
      </c>
      <c r="AI18" s="70" t="s">
        <v>178</v>
      </c>
      <c r="AJ18" s="71">
        <f>I27</f>
        <v>0</v>
      </c>
      <c r="AK18" s="72">
        <f>K27</f>
        <v>0</v>
      </c>
      <c r="AL18" s="73" t="s">
        <v>179</v>
      </c>
      <c r="AM18" s="51" t="s">
        <v>180</v>
      </c>
      <c r="AN18" s="44" t="s">
        <v>172</v>
      </c>
      <c r="AO18" s="45" t="str">
        <f t="shared" si="4"/>
        <v>Draw</v>
      </c>
      <c r="AP18" s="45" t="str">
        <f t="shared" si="5"/>
        <v>Draw</v>
      </c>
      <c r="AQ18" s="45"/>
      <c r="AS18" s="16" t="e">
        <f>KWALIFICATIE!#REF!</f>
        <v>#REF!</v>
      </c>
      <c r="AT18" s="16">
        <f>COUNT(South_Africa_Played)</f>
        <v>3</v>
      </c>
      <c r="AU18" s="16">
        <f>COUNTIF(Groupstage_Winners,"South Africa")</f>
        <v>1</v>
      </c>
      <c r="AV18" s="16">
        <f>COUNTIF(Groupstage_Losers,"South Africa")</f>
        <v>1</v>
      </c>
      <c r="AW18" s="16">
        <f>AT18-(AU18+AV18)</f>
        <v>1</v>
      </c>
      <c r="AX18" s="16">
        <f>SUM(South_Africa_Played)</f>
        <v>5</v>
      </c>
      <c r="AY18" s="16" t="e">
        <f>SUM(South_Africa_Against)</f>
        <v>#REF!</v>
      </c>
      <c r="AZ18" s="16" t="e">
        <f>AX18-AY18</f>
        <v>#REF!</v>
      </c>
      <c r="BA18" s="16">
        <v>0</v>
      </c>
      <c r="BB18" s="16" t="e">
        <f>IF($BA18&lt;=$BA17,$AS18,$AS17)</f>
        <v>#REF!</v>
      </c>
      <c r="BC18" s="16" t="e">
        <f>VLOOKUP($BB18,$AS15:$BA18,9,FALSE)</f>
        <v>#REF!</v>
      </c>
      <c r="BD18" s="16" t="e">
        <f>IF(BC18&lt;=BC16,BB18,BB16)</f>
        <v>#REF!</v>
      </c>
      <c r="BE18" s="16" t="e">
        <f>VLOOKUP($BD18,$AS15:$BA18,9,FALSE)</f>
        <v>#REF!</v>
      </c>
      <c r="BF18" s="16" t="e">
        <f>IF($BE18&lt;=$BE15,$BD18,$BD15)</f>
        <v>#REF!</v>
      </c>
      <c r="BG18" s="16" t="e">
        <f>VLOOKUP($BF18,$AS15:$BA18,9,FALSE)</f>
        <v>#REF!</v>
      </c>
      <c r="BH18" s="16" t="e">
        <f>VLOOKUP($BF18,$AS15:$BA18,8,FALSE)</f>
        <v>#REF!</v>
      </c>
      <c r="BI18" s="16" t="e">
        <f>IF(AND($BG17=$BG18,$BH18&gt;$BH17),$BF17,$BF18)</f>
        <v>#REF!</v>
      </c>
      <c r="BJ18" s="16" t="e">
        <f>VLOOKUP($BI18,$AS15:$BA18,9,FALSE)</f>
        <v>#REF!</v>
      </c>
      <c r="BK18" s="16" t="e">
        <f>VLOOKUP($BI18,$AS15:$BA18,8,FALSE)</f>
        <v>#REF!</v>
      </c>
      <c r="BL18" s="16" t="e">
        <f>IF(AND($BJ16=$BJ18,$BK18&gt;$BK16),$BI16,$BI18)</f>
        <v>#REF!</v>
      </c>
      <c r="BM18" s="16" t="e">
        <f>VLOOKUP($BL18,$AS15:$BA18,9,FALSE)</f>
        <v>#REF!</v>
      </c>
      <c r="BN18" s="16" t="e">
        <f>VLOOKUP($BL18,$AS15:$BA18,8,FALSE)</f>
        <v>#REF!</v>
      </c>
      <c r="BO18" s="16" t="e">
        <f>IF(AND($BM15=$BM18,$BN18&gt;$BN15),$BL15,$BL18)</f>
        <v>#REF!</v>
      </c>
      <c r="BP18" s="16" t="e">
        <f>VLOOKUP($BO18,$AS15:$BA18,9,FALSE)</f>
        <v>#REF!</v>
      </c>
      <c r="BQ18" s="16" t="e">
        <f>VLOOKUP($BO18,$AS15:$BA18,8,FALSE)</f>
        <v>#REF!</v>
      </c>
      <c r="BR18" s="16" t="e">
        <f>VLOOKUP($BO18,$AS15:$BA18,6,FALSE)</f>
        <v>#REF!</v>
      </c>
      <c r="BS18" s="16" t="e">
        <f>IF(AND($BP17=$BP18,$BQ17=$BQ18,$BR18&gt;$BR17),$BO17,$BO18)</f>
        <v>#REF!</v>
      </c>
      <c r="BT18" s="16" t="e">
        <f>VLOOKUP($BS18,$AS15:$BA18,9,FALSE)</f>
        <v>#REF!</v>
      </c>
      <c r="BU18" s="16" t="e">
        <f>VLOOKUP($BS18,$AS15:$BA18,8,FALSE)</f>
        <v>#REF!</v>
      </c>
      <c r="BV18" s="16" t="e">
        <f>VLOOKUP($BS18,$AS15:$BA18,6,FALSE)</f>
        <v>#REF!</v>
      </c>
      <c r="BW18" s="16" t="e">
        <f>IF(AND($BT16=$BT18,$BU16=$BU18,$BV18&gt;$BV16),$BS16,$BS18)</f>
        <v>#REF!</v>
      </c>
      <c r="BX18" s="16" t="e">
        <f>VLOOKUP($BW18,$AS15:$BA18,9,FALSE)</f>
        <v>#REF!</v>
      </c>
      <c r="BY18" s="16" t="e">
        <f>VLOOKUP($BW18,$AS15:$BA18,8,FALSE)</f>
        <v>#REF!</v>
      </c>
      <c r="BZ18" s="16" t="e">
        <f>VLOOKUP($BW18,$AS15:$BA18,6,FALSE)</f>
        <v>#REF!</v>
      </c>
      <c r="CA18" s="16" t="e">
        <f>IF(AND($BX15=$BX18,$BY15=$BY18,$BZ18&gt;$BZ15),$BW15,$BW18)</f>
        <v>#REF!</v>
      </c>
      <c r="CB18" s="16" t="e">
        <f>VLOOKUP($CA18,$AS15:$BA18,9,FALSE)</f>
        <v>#REF!</v>
      </c>
      <c r="CC18" s="16" t="e">
        <f>VLOOKUP($CA18,$AS15:$BA18,8,FALSE)</f>
        <v>#REF!</v>
      </c>
      <c r="CD18" s="16" t="e">
        <f>VLOOKUP($CA18,$AS15:$BA18,6,FALSE)</f>
        <v>#REF!</v>
      </c>
      <c r="CH18" s="16" t="e">
        <f>CA18</f>
        <v>#REF!</v>
      </c>
      <c r="CI18" s="16" t="e">
        <f>VLOOKUP($CH18,$AS15:$BA18,2,FALSE)</f>
        <v>#REF!</v>
      </c>
      <c r="CJ18" s="16" t="e">
        <f>VLOOKUP($CH18,$AS15:$BA18,3,FALSE)</f>
        <v>#REF!</v>
      </c>
      <c r="CK18" s="16" t="e">
        <f>VLOOKUP($CH18,$AS15:$BA18,4,FALSE)</f>
        <v>#REF!</v>
      </c>
      <c r="CL18" s="16" t="e">
        <f>VLOOKUP($CH18,$AS15:$BA18,5,FALSE)</f>
        <v>#REF!</v>
      </c>
      <c r="CM18" s="16" t="e">
        <f>VLOOKUP($CH18,$AS15:$BA18,6,FALSE)</f>
        <v>#REF!</v>
      </c>
      <c r="CN18" s="16" t="e">
        <f>VLOOKUP($CH18,$AS15:$BA18,7,FALSE)</f>
        <v>#REF!</v>
      </c>
      <c r="CO18" s="16" t="e">
        <f>VLOOKUP($CH18,$AS15:$BA18,8,FALSE)</f>
        <v>#REF!</v>
      </c>
      <c r="CP18" s="16" t="e">
        <f>VLOOKUP($CH18,$AS15:$BA18,9,FALSE)</f>
        <v>#REF!</v>
      </c>
      <c r="CR18" s="21" t="e">
        <f>#REF!</f>
        <v>#REF!</v>
      </c>
    </row>
    <row r="19" spans="1:96" ht="12.95" customHeight="1" thickBot="1" x14ac:dyDescent="0.25">
      <c r="A19" s="262"/>
      <c r="B19" s="262"/>
      <c r="C19" s="262"/>
      <c r="D19" s="262"/>
      <c r="E19" s="262"/>
      <c r="F19" s="262"/>
      <c r="G19" s="352"/>
      <c r="H19" s="352"/>
      <c r="I19" s="352"/>
      <c r="J19" s="559"/>
      <c r="K19" s="559"/>
      <c r="L19" s="559"/>
      <c r="M19" s="559"/>
      <c r="N19" s="559"/>
      <c r="O19" s="352"/>
      <c r="P19" s="352"/>
      <c r="Q19" s="262"/>
      <c r="R19" s="291"/>
      <c r="S19" s="291"/>
      <c r="T19" s="291"/>
      <c r="U19" s="291"/>
      <c r="V19" s="291"/>
      <c r="W19" s="291"/>
      <c r="X19" s="350"/>
      <c r="Y19" s="350"/>
      <c r="Z19" s="350"/>
      <c r="AA19" s="556"/>
      <c r="AB19" s="556"/>
      <c r="AC19" s="556"/>
      <c r="AD19" s="556"/>
      <c r="AE19" s="556"/>
      <c r="AF19" s="350"/>
      <c r="AG19" s="350"/>
      <c r="AH19" s="69" t="s">
        <v>181</v>
      </c>
      <c r="AI19" s="70" t="s">
        <v>182</v>
      </c>
      <c r="AJ19" s="71">
        <f>Z57</f>
        <v>0</v>
      </c>
      <c r="AK19" s="72">
        <f>AB57</f>
        <v>0</v>
      </c>
      <c r="AL19" s="73" t="s">
        <v>183</v>
      </c>
      <c r="AM19" s="50" t="s">
        <v>184</v>
      </c>
      <c r="AN19" s="44" t="s">
        <v>185</v>
      </c>
      <c r="AO19" s="45" t="str">
        <f t="shared" si="4"/>
        <v>Draw</v>
      </c>
      <c r="AP19" s="45" t="str">
        <f t="shared" si="5"/>
        <v>Draw</v>
      </c>
      <c r="AQ19" s="45"/>
      <c r="CR19" s="21" t="e">
        <f>#REF!</f>
        <v>#REF!</v>
      </c>
    </row>
    <row r="20" spans="1:96" ht="12.95" customHeight="1" thickBot="1" x14ac:dyDescent="0.25">
      <c r="A20" s="559"/>
      <c r="B20" s="559"/>
      <c r="C20" s="263"/>
      <c r="D20" s="262"/>
      <c r="E20" s="262"/>
      <c r="F20" s="262"/>
      <c r="G20" s="351"/>
      <c r="H20" s="351"/>
      <c r="I20" s="353"/>
      <c r="J20" s="558"/>
      <c r="K20" s="558"/>
      <c r="L20" s="264"/>
      <c r="M20" s="353"/>
      <c r="N20" s="265"/>
      <c r="O20" s="351"/>
      <c r="P20" s="353"/>
      <c r="Q20" s="262"/>
      <c r="R20" s="559"/>
      <c r="S20" s="559"/>
      <c r="T20" s="263"/>
      <c r="U20" s="262"/>
      <c r="V20" s="262"/>
      <c r="W20" s="262"/>
      <c r="X20" s="351"/>
      <c r="Y20" s="351"/>
      <c r="Z20" s="353"/>
      <c r="AA20" s="558"/>
      <c r="AB20" s="558"/>
      <c r="AC20" s="264"/>
      <c r="AD20" s="353"/>
      <c r="AE20" s="265"/>
      <c r="AF20" s="351"/>
      <c r="AG20" s="353"/>
      <c r="AH20" s="70" t="s">
        <v>187</v>
      </c>
      <c r="AI20" s="70" t="s">
        <v>188</v>
      </c>
      <c r="AJ20" s="71">
        <f>Z26</f>
        <v>0</v>
      </c>
      <c r="AK20" s="72">
        <f>AB26</f>
        <v>0</v>
      </c>
      <c r="AL20" s="73" t="s">
        <v>189</v>
      </c>
      <c r="AM20" s="51" t="s">
        <v>190</v>
      </c>
      <c r="AN20" s="44" t="s">
        <v>126</v>
      </c>
      <c r="AO20" s="45" t="str">
        <f t="shared" si="4"/>
        <v>Draw</v>
      </c>
      <c r="AP20" s="45" t="str">
        <f t="shared" si="5"/>
        <v>Draw</v>
      </c>
      <c r="AQ20" s="45"/>
      <c r="AS20" s="16" t="s">
        <v>191</v>
      </c>
      <c r="CR20" s="21" t="e">
        <f>#REF!</f>
        <v>#REF!</v>
      </c>
    </row>
    <row r="21" spans="1:96" ht="12.95" customHeight="1" thickBot="1" x14ac:dyDescent="0.25">
      <c r="A21" s="559"/>
      <c r="B21" s="559"/>
      <c r="C21" s="263"/>
      <c r="D21" s="262"/>
      <c r="E21" s="262"/>
      <c r="F21" s="262"/>
      <c r="G21" s="351"/>
      <c r="H21" s="351"/>
      <c r="I21" s="353"/>
      <c r="J21" s="558"/>
      <c r="K21" s="558"/>
      <c r="L21" s="264"/>
      <c r="M21" s="353"/>
      <c r="N21" s="265"/>
      <c r="O21" s="351"/>
      <c r="P21" s="353"/>
      <c r="Q21" s="262"/>
      <c r="R21" s="559"/>
      <c r="S21" s="559"/>
      <c r="T21" s="263"/>
      <c r="U21" s="262"/>
      <c r="V21" s="262"/>
      <c r="W21" s="262"/>
      <c r="X21" s="351"/>
      <c r="Y21" s="351"/>
      <c r="Z21" s="353"/>
      <c r="AA21" s="558"/>
      <c r="AB21" s="558"/>
      <c r="AC21" s="264"/>
      <c r="AD21" s="353"/>
      <c r="AE21" s="265"/>
      <c r="AF21" s="351"/>
      <c r="AG21" s="353"/>
      <c r="AH21" s="70" t="s">
        <v>193</v>
      </c>
      <c r="AI21" s="70" t="s">
        <v>194</v>
      </c>
      <c r="AJ21" s="71">
        <f>Z58</f>
        <v>0</v>
      </c>
      <c r="AK21" s="72">
        <f>AB58</f>
        <v>0</v>
      </c>
      <c r="AL21" s="73" t="s">
        <v>195</v>
      </c>
      <c r="AM21" s="51" t="s">
        <v>196</v>
      </c>
      <c r="AN21" s="44" t="s">
        <v>185</v>
      </c>
      <c r="AO21" s="45" t="str">
        <f t="shared" si="4"/>
        <v>Draw</v>
      </c>
      <c r="AP21" s="45" t="str">
        <f t="shared" si="5"/>
        <v>Draw</v>
      </c>
      <c r="AQ21" s="45"/>
      <c r="AT21" s="16" t="s">
        <v>124</v>
      </c>
      <c r="AU21" s="16" t="s">
        <v>110</v>
      </c>
      <c r="AV21" s="16" t="s">
        <v>125</v>
      </c>
      <c r="AW21" s="16" t="s">
        <v>126</v>
      </c>
      <c r="AX21" s="16" t="s">
        <v>127</v>
      </c>
      <c r="AY21" s="16" t="s">
        <v>123</v>
      </c>
      <c r="AZ21" s="16" t="s">
        <v>128</v>
      </c>
      <c r="BA21" s="16" t="s">
        <v>129</v>
      </c>
      <c r="CR21" s="21" t="e">
        <f>#REF!</f>
        <v>#REF!</v>
      </c>
    </row>
    <row r="22" spans="1:96" ht="12.95" customHeight="1" thickBot="1" x14ac:dyDescent="0.25">
      <c r="A22" s="559"/>
      <c r="B22" s="559"/>
      <c r="C22" s="263"/>
      <c r="D22" s="262"/>
      <c r="E22" s="262"/>
      <c r="F22" s="262"/>
      <c r="G22" s="351"/>
      <c r="H22" s="351"/>
      <c r="I22" s="353"/>
      <c r="J22" s="558"/>
      <c r="K22" s="558"/>
      <c r="L22" s="264"/>
      <c r="M22" s="353"/>
      <c r="N22" s="265"/>
      <c r="O22" s="351"/>
      <c r="P22" s="353"/>
      <c r="Q22" s="262"/>
      <c r="R22" s="559"/>
      <c r="S22" s="559"/>
      <c r="T22" s="263"/>
      <c r="U22" s="262"/>
      <c r="V22" s="262"/>
      <c r="W22" s="262"/>
      <c r="X22" s="351"/>
      <c r="Y22" s="351"/>
      <c r="Z22" s="353"/>
      <c r="AA22" s="558"/>
      <c r="AB22" s="558"/>
      <c r="AC22" s="264"/>
      <c r="AD22" s="353"/>
      <c r="AE22" s="265"/>
      <c r="AF22" s="351"/>
      <c r="AG22" s="353"/>
      <c r="AH22" s="70" t="s">
        <v>198</v>
      </c>
      <c r="AI22" s="70" t="s">
        <v>199</v>
      </c>
      <c r="AJ22" s="71">
        <f>Z27</f>
        <v>0</v>
      </c>
      <c r="AK22" s="72">
        <f>AB27</f>
        <v>0</v>
      </c>
      <c r="AL22" s="73" t="s">
        <v>200</v>
      </c>
      <c r="AM22" s="51" t="s">
        <v>201</v>
      </c>
      <c r="AN22" s="44" t="s">
        <v>126</v>
      </c>
      <c r="AO22" s="45" t="str">
        <f t="shared" si="4"/>
        <v>Draw</v>
      </c>
      <c r="AP22" s="45" t="str">
        <f t="shared" si="5"/>
        <v>Draw</v>
      </c>
      <c r="AQ22" s="45"/>
      <c r="AS22" s="16" t="str">
        <f>KWALIFICATIE!S5</f>
        <v>De Kabel</v>
      </c>
      <c r="AT22" s="16">
        <f>COUNT(Brazil_Played)</f>
        <v>3</v>
      </c>
      <c r="AU22" s="16">
        <f>COUNTIF(Groupstage_Winners,"Brazil")</f>
        <v>0</v>
      </c>
      <c r="AV22" s="16">
        <f>COUNTIF(Groupstage_Losers,"Brazil")</f>
        <v>0</v>
      </c>
      <c r="AW22" s="16">
        <f>AT22-(AU22+AV22)</f>
        <v>3</v>
      </c>
      <c r="AX22" s="16">
        <f>SUM(Brazil_Played)</f>
        <v>0</v>
      </c>
      <c r="AY22" s="16">
        <f>SUM(Brazil_Against)</f>
        <v>0</v>
      </c>
      <c r="AZ22" s="16">
        <f>AX22-AY22</f>
        <v>0</v>
      </c>
      <c r="BA22" s="16">
        <v>0</v>
      </c>
      <c r="BB22" s="16" t="str">
        <f>IF($BA22&gt;=$BA23,$AS22,$AS23)</f>
        <v>De Kabel</v>
      </c>
      <c r="BC22" s="16">
        <f>VLOOKUP($BB22,$AS22:$BA25,9,FALSE)</f>
        <v>0</v>
      </c>
      <c r="BD22" s="16" t="str">
        <f>IF($BC22&gt;=$BC24,$BB22,$BB24)</f>
        <v>De Kabel</v>
      </c>
      <c r="BE22" s="16">
        <f>VLOOKUP($BD22,$AS22:$BA25,9,FALSE)</f>
        <v>0</v>
      </c>
      <c r="BF22" s="16" t="str">
        <f>IF($BE22&gt;=$BE25,$BD22,$BD25)</f>
        <v>De Kabel</v>
      </c>
      <c r="BG22" s="16">
        <f>VLOOKUP($BF22,$AS22:$BA25,9,FALSE)</f>
        <v>0</v>
      </c>
      <c r="BH22" s="16">
        <f>VLOOKUP($BF22,$AS22:$BA25,8,FALSE)</f>
        <v>0</v>
      </c>
      <c r="BI22" s="16" t="str">
        <f>IF(AND($BG22=$BG23,$BH23&gt;$BH22),$BF23,$BF22)</f>
        <v>De Kabel</v>
      </c>
      <c r="BJ22" s="16">
        <f>VLOOKUP($BI22,$AS22:$BA25,9,FALSE)</f>
        <v>0</v>
      </c>
      <c r="BK22" s="16">
        <f>VLOOKUP($BI22,$AS22:$BA25,8,FALSE)</f>
        <v>0</v>
      </c>
      <c r="BL22" s="16" t="str">
        <f>IF(AND($BJ22=$BJ24,$BK24&gt;$BK22),$BI24,$BI22)</f>
        <v>De Kabel</v>
      </c>
      <c r="BM22" s="16">
        <f>VLOOKUP($BL22,$AS22:$BA25,9,FALSE)</f>
        <v>0</v>
      </c>
      <c r="BN22" s="16">
        <f>VLOOKUP($BL22,$AS22:$BA25,8,FALSE)</f>
        <v>0</v>
      </c>
      <c r="BO22" s="16" t="str">
        <f>IF(AND($BM22=$BM25,$BN25&gt;$BN22),$BL25,$BL22)</f>
        <v>De Kabel</v>
      </c>
      <c r="BP22" s="16">
        <f>VLOOKUP($BO22,$AS22:$BA25,9,FALSE)</f>
        <v>0</v>
      </c>
      <c r="BQ22" s="16">
        <f>VLOOKUP($BO22,$AS22:$BA25,8,FALSE)</f>
        <v>0</v>
      </c>
      <c r="BR22" s="16">
        <f>VLOOKUP($BO22,$AS22:$BA25,6,FALSE)</f>
        <v>0</v>
      </c>
      <c r="BS22" s="16" t="str">
        <f>IF(AND($BP22=$BP23,$BQ22=$BQ23,$BR23&gt;$BR22),$BO23,$BO22)</f>
        <v>De Kabel</v>
      </c>
      <c r="BT22" s="16">
        <f>VLOOKUP($BS22,$AS22:$BA25,9,FALSE)</f>
        <v>0</v>
      </c>
      <c r="BU22" s="16">
        <f>VLOOKUP($BS22,$AS22:$BA25,8,FALSE)</f>
        <v>0</v>
      </c>
      <c r="BV22" s="16">
        <f>VLOOKUP($BS22,$AS22:$BA25,6,FALSE)</f>
        <v>0</v>
      </c>
      <c r="BW22" s="16" t="str">
        <f>IF(AND($BT22=$BT24,$BU22=$BU24,$BV24&gt;$BV22),$BS24,$BS22)</f>
        <v>De Kabel</v>
      </c>
      <c r="BX22" s="16">
        <f>VLOOKUP($BW22,$AS22:$BA25,9,FALSE)</f>
        <v>0</v>
      </c>
      <c r="BY22" s="16">
        <f>VLOOKUP($BW22,$AS22:$BA25,8,FALSE)</f>
        <v>0</v>
      </c>
      <c r="BZ22" s="16">
        <f>VLOOKUP($BW22,$AS22:$BA25,6,FALSE)</f>
        <v>0</v>
      </c>
      <c r="CA22" s="16" t="str">
        <f>IF(AND($BX22=$BX25,$BY22=$BY25,$BZ25&gt;$BZ22),$BW25,$BW22)</f>
        <v>De Kabel</v>
      </c>
      <c r="CB22" s="16">
        <f>VLOOKUP($CA22,$AS22:$BA25,9,FALSE)</f>
        <v>0</v>
      </c>
      <c r="CC22" s="16">
        <f>VLOOKUP($CA22,$AS22:$BA25,8,FALSE)</f>
        <v>0</v>
      </c>
      <c r="CD22" s="16">
        <f>VLOOKUP($CA22,$AS22:$BA25,6,FALSE)</f>
        <v>0</v>
      </c>
      <c r="CH22" s="16" t="str">
        <f>CA22</f>
        <v>De Kabel</v>
      </c>
      <c r="CI22" s="16">
        <f>VLOOKUP($CH22,$AS22:$BA25,2,FALSE)</f>
        <v>3</v>
      </c>
      <c r="CJ22" s="16">
        <f>VLOOKUP($CH22,$AS22:$BA25,3,FALSE)</f>
        <v>0</v>
      </c>
      <c r="CK22" s="16">
        <f>VLOOKUP($CH22,$AS22:$BA25,4,FALSE)</f>
        <v>0</v>
      </c>
      <c r="CL22" s="16">
        <f>VLOOKUP($CH22,$AS22:$BA25,5,FALSE)</f>
        <v>3</v>
      </c>
      <c r="CM22" s="16">
        <f>VLOOKUP($CH22,$AS22:$BA25,6,FALSE)</f>
        <v>0</v>
      </c>
      <c r="CN22" s="16">
        <f>VLOOKUP($CH22,$AS22:$BA25,7,FALSE)</f>
        <v>0</v>
      </c>
      <c r="CO22" s="16">
        <f>VLOOKUP($CH22,$AS22:$BA25,8,FALSE)</f>
        <v>0</v>
      </c>
      <c r="CP22" s="16">
        <f>VLOOKUP($CH22,$AS22:$BA25,9,FALSE)</f>
        <v>0</v>
      </c>
      <c r="CR22" s="21" t="e">
        <f>#REF!</f>
        <v>#REF!</v>
      </c>
    </row>
    <row r="23" spans="1:96" ht="12.95" customHeight="1" thickBot="1" x14ac:dyDescent="0.25">
      <c r="A23" s="559"/>
      <c r="B23" s="559"/>
      <c r="C23" s="263"/>
      <c r="D23" s="262"/>
      <c r="E23" s="262"/>
      <c r="F23" s="262"/>
      <c r="G23" s="351"/>
      <c r="H23" s="351"/>
      <c r="I23" s="353"/>
      <c r="J23" s="558"/>
      <c r="K23" s="558"/>
      <c r="L23" s="264"/>
      <c r="M23" s="353"/>
      <c r="N23" s="265"/>
      <c r="O23" s="351"/>
      <c r="P23" s="353"/>
      <c r="Q23" s="266"/>
      <c r="R23" s="559"/>
      <c r="S23" s="559"/>
      <c r="T23" s="263"/>
      <c r="U23" s="262"/>
      <c r="V23" s="262"/>
      <c r="W23" s="262"/>
      <c r="X23" s="351"/>
      <c r="Y23" s="351"/>
      <c r="Z23" s="353"/>
      <c r="AA23" s="558"/>
      <c r="AB23" s="558"/>
      <c r="AC23" s="264"/>
      <c r="AD23" s="353"/>
      <c r="AE23" s="265"/>
      <c r="AF23" s="351"/>
      <c r="AG23" s="353"/>
      <c r="AH23" s="63" t="s">
        <v>142</v>
      </c>
      <c r="AI23" s="63" t="s">
        <v>143</v>
      </c>
      <c r="AJ23" s="75">
        <f>I44</f>
        <v>0</v>
      </c>
      <c r="AK23" s="76">
        <f>K44</f>
        <v>0</v>
      </c>
      <c r="AL23" s="77" t="s">
        <v>134</v>
      </c>
      <c r="AM23" s="48" t="s">
        <v>133</v>
      </c>
      <c r="AN23" s="44" t="s">
        <v>137</v>
      </c>
      <c r="AO23" s="45" t="str">
        <f t="shared" si="4"/>
        <v>Draw</v>
      </c>
      <c r="AP23" s="45" t="str">
        <f t="shared" si="5"/>
        <v>Draw</v>
      </c>
      <c r="AQ23" s="45"/>
      <c r="AS23" s="16" t="str">
        <f>KWALIFICATIE!S6</f>
        <v>Om des Keijzers baerdt</v>
      </c>
      <c r="AT23" s="16">
        <f>COUNT(Turkey_Played)</f>
        <v>3</v>
      </c>
      <c r="AU23" s="16">
        <f>COUNTIF(Groupstage_Winners,"Turkey")</f>
        <v>0</v>
      </c>
      <c r="AV23" s="16">
        <f>COUNTIF(Groupstage_Losers,"Turkey")</f>
        <v>0</v>
      </c>
      <c r="AW23" s="16">
        <f>AT23-(AU23+AV23)</f>
        <v>3</v>
      </c>
      <c r="AX23" s="16">
        <f>SUM(Turkey_Played)</f>
        <v>0</v>
      </c>
      <c r="AY23" s="16">
        <f>SUM(Turkey_Against)</f>
        <v>0</v>
      </c>
      <c r="AZ23" s="16">
        <f>AX23-AY23</f>
        <v>0</v>
      </c>
      <c r="BA23" s="16">
        <v>0</v>
      </c>
      <c r="BB23" s="16" t="str">
        <f>IF($BA23&lt;=$BA22,$AS23,$AS22)</f>
        <v>Om des Keijzers baerdt</v>
      </c>
      <c r="BC23" s="16">
        <f>VLOOKUP($BB23,$AS22:$BA25,9,FALSE)</f>
        <v>0</v>
      </c>
      <c r="BD23" s="16" t="str">
        <f>IF(BC23&gt;=BC25,BB23,BB25)</f>
        <v>Om des Keijzers baerdt</v>
      </c>
      <c r="BE23" s="16">
        <f>VLOOKUP($BD23,$AS22:$BA25,9,FALSE)</f>
        <v>0</v>
      </c>
      <c r="BF23" s="16" t="str">
        <f>IF($BE23&gt;=$BE24,$BD23,$BD24)</f>
        <v>Om des Keijzers baerdt</v>
      </c>
      <c r="BG23" s="16">
        <f>VLOOKUP($BF23,$AS22:$BA25,9,FALSE)</f>
        <v>0</v>
      </c>
      <c r="BH23" s="16">
        <f>VLOOKUP($BF23,$AS22:$BA25,8,FALSE)</f>
        <v>0</v>
      </c>
      <c r="BI23" s="16" t="str">
        <f>IF(AND($BG22=$BG23,$BH23&gt;$BH22),$BF22,$BF23)</f>
        <v>Om des Keijzers baerdt</v>
      </c>
      <c r="BJ23" s="16">
        <f>VLOOKUP($BI23,$AS22:$BA25,9,FALSE)</f>
        <v>0</v>
      </c>
      <c r="BK23" s="16">
        <f>VLOOKUP($BI23,$AS22:$BA25,8,FALSE)</f>
        <v>0</v>
      </c>
      <c r="BL23" s="16" t="str">
        <f>IF(AND($BJ23=$BJ25,$BK25&gt;$BK23),$BI25,$BI23)</f>
        <v>Om des Keijzers baerdt</v>
      </c>
      <c r="BM23" s="16">
        <f>VLOOKUP($BL23,$AS22:$BA25,9,FALSE)</f>
        <v>0</v>
      </c>
      <c r="BN23" s="16">
        <f>VLOOKUP($BL23,$AS22:$BA25,8,FALSE)</f>
        <v>0</v>
      </c>
      <c r="BO23" s="16" t="str">
        <f>IF(AND($BM23=$BM24,$BN24&gt;$BN23),$BL24,$BL23)</f>
        <v>Om des Keijzers baerdt</v>
      </c>
      <c r="BP23" s="16">
        <f>VLOOKUP($BO23,$AS22:$BA25,9,FALSE)</f>
        <v>0</v>
      </c>
      <c r="BQ23" s="16">
        <f>VLOOKUP($BO23,$AS22:$BA25,8,FALSE)</f>
        <v>0</v>
      </c>
      <c r="BR23" s="16">
        <f>VLOOKUP($BO23,$AS22:$BA25,6,FALSE)</f>
        <v>0</v>
      </c>
      <c r="BS23" s="16" t="str">
        <f>IF(AND($BP22=$BP23,$BQ22=$BQ23,$BR23&gt;$BR22),$BO22,$BO23)</f>
        <v>Om des Keijzers baerdt</v>
      </c>
      <c r="BT23" s="16">
        <f>VLOOKUP($BS23,$AS22:$BA25,9,FALSE)</f>
        <v>0</v>
      </c>
      <c r="BU23" s="16">
        <f>VLOOKUP($BS23,$AS22:$BA25,8,FALSE)</f>
        <v>0</v>
      </c>
      <c r="BV23" s="16">
        <f>VLOOKUP($BS23,$AS22:$BA25,6,FALSE)</f>
        <v>0</v>
      </c>
      <c r="BW23" s="16" t="str">
        <f>IF(AND($BT23=$BT25,$BU23=$BU25,$BV25&gt;$BV23),$BS25,$BS23)</f>
        <v>Om des Keijzers baerdt</v>
      </c>
      <c r="BX23" s="16">
        <f>VLOOKUP($BW23,$AS22:$BA25,9,FALSE)</f>
        <v>0</v>
      </c>
      <c r="BY23" s="16">
        <f>VLOOKUP($BW23,$AS22:$BA25,8,FALSE)</f>
        <v>0</v>
      </c>
      <c r="BZ23" s="16">
        <f>VLOOKUP($BW23,$AS22:$BA25,6,FALSE)</f>
        <v>0</v>
      </c>
      <c r="CA23" s="16" t="str">
        <f>IF(AND($BX23=$BX24,$BY23=$BY24,$BZ24&gt;$BZ23),$BW24,$BW23)</f>
        <v>Om des Keijzers baerdt</v>
      </c>
      <c r="CB23" s="16">
        <f>VLOOKUP($CA23,$AS22:$BA25,9,FALSE)</f>
        <v>0</v>
      </c>
      <c r="CC23" s="16">
        <f>VLOOKUP($CA23,$AS22:$BA25,8,FALSE)</f>
        <v>0</v>
      </c>
      <c r="CD23" s="16">
        <f>VLOOKUP($CA23,$AS22:$BA25,6,FALSE)</f>
        <v>0</v>
      </c>
      <c r="CH23" s="16" t="str">
        <f>CA23</f>
        <v>Om des Keijzers baerdt</v>
      </c>
      <c r="CI23" s="16">
        <f>VLOOKUP($CH23,$AS22:$BA25,2,FALSE)</f>
        <v>3</v>
      </c>
      <c r="CJ23" s="16">
        <f>VLOOKUP($CH23,$AS22:$BA25,3,FALSE)</f>
        <v>0</v>
      </c>
      <c r="CK23" s="16">
        <f>VLOOKUP($CH23,$AS22:$BA25,4,FALSE)</f>
        <v>0</v>
      </c>
      <c r="CL23" s="16">
        <f>VLOOKUP($CH23,$AS22:$BA25,5,FALSE)</f>
        <v>3</v>
      </c>
      <c r="CM23" s="16">
        <f>VLOOKUP($CH23,$AS22:$BA25,6,FALSE)</f>
        <v>0</v>
      </c>
      <c r="CN23" s="16">
        <f>VLOOKUP($CH23,$AS22:$BA25,7,FALSE)</f>
        <v>0</v>
      </c>
      <c r="CO23" s="16">
        <f>VLOOKUP($CH23,$AS22:$BA25,8,FALSE)</f>
        <v>0</v>
      </c>
      <c r="CP23" s="16">
        <f>VLOOKUP($CH23,$AS22:$BA25,9,FALSE)</f>
        <v>0</v>
      </c>
      <c r="CR23" s="21" t="e">
        <f>#REF!</f>
        <v>#REF!</v>
      </c>
    </row>
    <row r="24" spans="1:96" ht="13.5" thickBot="1" x14ac:dyDescent="0.25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262"/>
      <c r="AD24" s="262"/>
      <c r="AE24" s="262"/>
      <c r="AF24" s="262"/>
      <c r="AG24" s="262"/>
      <c r="AH24" s="65" t="s">
        <v>138</v>
      </c>
      <c r="AI24" s="63" t="s">
        <v>139</v>
      </c>
      <c r="AJ24" s="75" t="e">
        <f>I13</f>
        <v>#REF!</v>
      </c>
      <c r="AK24" s="76" t="e">
        <f>K13</f>
        <v>#REF!</v>
      </c>
      <c r="AL24" s="77" t="s">
        <v>120</v>
      </c>
      <c r="AM24" s="56" t="s">
        <v>119</v>
      </c>
      <c r="AN24" s="44" t="s">
        <v>123</v>
      </c>
      <c r="AO24" s="45" t="e">
        <f t="shared" si="4"/>
        <v>#REF!</v>
      </c>
      <c r="AP24" s="45" t="e">
        <f t="shared" si="5"/>
        <v>#REF!</v>
      </c>
      <c r="AQ24" s="45"/>
      <c r="AS24" s="16" t="str">
        <f>KWALIFICATIE!S7</f>
        <v>Team Bombert</v>
      </c>
      <c r="AT24" s="16">
        <f>COUNT(China_Played)</f>
        <v>3</v>
      </c>
      <c r="AU24" s="16">
        <f>COUNTIF(Groupstage_Winners,"China")</f>
        <v>0</v>
      </c>
      <c r="AV24" s="16">
        <f>COUNTIF(Groupstage_Losers,"China")</f>
        <v>0</v>
      </c>
      <c r="AW24" s="16">
        <f>AT24-(AU24+AV24)</f>
        <v>3</v>
      </c>
      <c r="AX24" s="16">
        <f>SUM(China_Played)</f>
        <v>0</v>
      </c>
      <c r="AY24" s="16">
        <f>SUM(China_Against)</f>
        <v>0</v>
      </c>
      <c r="AZ24" s="16">
        <f>AX24-AY24</f>
        <v>0</v>
      </c>
      <c r="BA24" s="16">
        <v>0</v>
      </c>
      <c r="BB24" s="16" t="str">
        <f>IF($BA24&gt;=$BA25,$AS24,$AS25)</f>
        <v>Team Bombert</v>
      </c>
      <c r="BC24" s="16">
        <f>VLOOKUP($BB24,$AS22:$BA25,9,FALSE)</f>
        <v>0</v>
      </c>
      <c r="BD24" s="16" t="str">
        <f>IF($BC24&lt;=$BC22,$BB24,$BB22)</f>
        <v>Team Bombert</v>
      </c>
      <c r="BE24" s="16">
        <f>VLOOKUP($BD24,$AS22:$BA25,9,FALSE)</f>
        <v>0</v>
      </c>
      <c r="BF24" s="16" t="str">
        <f>IF($BE24&lt;=$BE23,$BD24,$BD23)</f>
        <v>Team Bombert</v>
      </c>
      <c r="BG24" s="16">
        <f>VLOOKUP($BF24,$AS22:$BA25,9,FALSE)</f>
        <v>0</v>
      </c>
      <c r="BH24" s="16">
        <f>VLOOKUP($BF24,$AS22:$BA25,8,FALSE)</f>
        <v>0</v>
      </c>
      <c r="BI24" s="16" t="str">
        <f>IF(AND($BG24=$BG25,$BH25&gt;$BH24),$BF25,$BF24)</f>
        <v>Team Bombert</v>
      </c>
      <c r="BJ24" s="16">
        <f>VLOOKUP($BI24,$AS22:$BA25,9,FALSE)</f>
        <v>0</v>
      </c>
      <c r="BK24" s="16">
        <f>VLOOKUP($BI24,$AS22:$BA25,8,FALSE)</f>
        <v>0</v>
      </c>
      <c r="BL24" s="16" t="str">
        <f>IF(AND($BJ22=$BJ24,$BK24&gt;$BK22),$BI22,$BI24)</f>
        <v>Team Bombert</v>
      </c>
      <c r="BM24" s="16">
        <f>VLOOKUP($BL24,$AS22:$BA25,9,FALSE)</f>
        <v>0</v>
      </c>
      <c r="BN24" s="16">
        <f>VLOOKUP($BL24,$AS22:$BA25,8,FALSE)</f>
        <v>0</v>
      </c>
      <c r="BO24" s="16" t="str">
        <f>IF(AND($BM23=$BM24,$BN24&gt;$BN23),$BL23,$BL24)</f>
        <v>Team Bombert</v>
      </c>
      <c r="BP24" s="16">
        <f>VLOOKUP($BO24,$AS22:$BA25,9,FALSE)</f>
        <v>0</v>
      </c>
      <c r="BQ24" s="16">
        <f>VLOOKUP($BO24,$AS22:$BA25,8,FALSE)</f>
        <v>0</v>
      </c>
      <c r="BR24" s="16">
        <f>VLOOKUP($BO24,$AS22:$BA25,6,FALSE)</f>
        <v>0</v>
      </c>
      <c r="BS24" s="16" t="str">
        <f>IF(AND($BP24=$BP25,$BQ24=$BQ25,$BR25&gt;$BR24),$BO25,$BO24)</f>
        <v>Team Bombert</v>
      </c>
      <c r="BT24" s="16">
        <f>VLOOKUP($BS24,$AS22:$BA25,9,FALSE)</f>
        <v>0</v>
      </c>
      <c r="BU24" s="16">
        <f>VLOOKUP($BS24,$AS22:$BA25,8,FALSE)</f>
        <v>0</v>
      </c>
      <c r="BV24" s="16">
        <f>VLOOKUP($BS24,$AS22:$BA25,6,FALSE)</f>
        <v>0</v>
      </c>
      <c r="BW24" s="16" t="str">
        <f>IF(AND($BT22=$BT24,$BU22=$BU24,$BV23&gt;$BV22),$BS22,$BS24)</f>
        <v>Team Bombert</v>
      </c>
      <c r="BX24" s="16">
        <f>VLOOKUP($BW24,$AS22:$BA25,9,FALSE)</f>
        <v>0</v>
      </c>
      <c r="BY24" s="16">
        <f>VLOOKUP($BW24,$AS22:$BA25,8,FALSE)</f>
        <v>0</v>
      </c>
      <c r="BZ24" s="16">
        <f>VLOOKUP($BW24,$AS22:$BA25,6,FALSE)</f>
        <v>0</v>
      </c>
      <c r="CA24" s="16" t="str">
        <f>IF(AND($BX23=$BX24,$BY23=$BY24,$BZ24&gt;$BZ23),$BW23,$BW24)</f>
        <v>Team Bombert</v>
      </c>
      <c r="CB24" s="16">
        <f>VLOOKUP($CA24,$AS22:$BA25,9,FALSE)</f>
        <v>0</v>
      </c>
      <c r="CC24" s="16">
        <f>VLOOKUP($CA24,$AS22:$BA25,8,FALSE)</f>
        <v>0</v>
      </c>
      <c r="CD24" s="16">
        <f>VLOOKUP($CA24,$AS22:$BA25,6,FALSE)</f>
        <v>0</v>
      </c>
      <c r="CH24" s="16" t="str">
        <f>CA24</f>
        <v>Team Bombert</v>
      </c>
      <c r="CI24" s="16">
        <f>VLOOKUP($CH24,$AS22:$BA25,2,FALSE)</f>
        <v>3</v>
      </c>
      <c r="CJ24" s="16">
        <f>VLOOKUP($CH24,$AS22:$BA25,3,FALSE)</f>
        <v>0</v>
      </c>
      <c r="CK24" s="16">
        <f>VLOOKUP($CH24,$AS22:$BA25,4,FALSE)</f>
        <v>0</v>
      </c>
      <c r="CL24" s="16">
        <f>VLOOKUP($CH24,$AS22:$BA25,5,FALSE)</f>
        <v>3</v>
      </c>
      <c r="CM24" s="16">
        <f>VLOOKUP($CH24,$AS22:$BA25,6,FALSE)</f>
        <v>0</v>
      </c>
      <c r="CN24" s="16">
        <f>VLOOKUP($CH24,$AS22:$BA25,7,FALSE)</f>
        <v>0</v>
      </c>
      <c r="CO24" s="16">
        <f>VLOOKUP($CH24,$AS22:$BA25,8,FALSE)</f>
        <v>0</v>
      </c>
      <c r="CP24" s="16">
        <f>VLOOKUP($CH24,$AS22:$BA25,9,FALSE)</f>
        <v>0</v>
      </c>
      <c r="CR24" s="21" t="e">
        <f>#REF!</f>
        <v>#REF!</v>
      </c>
    </row>
    <row r="25" spans="1:96" ht="13.5" thickBot="1" x14ac:dyDescent="0.25">
      <c r="A25" s="354"/>
      <c r="B25" s="354"/>
      <c r="C25" s="354"/>
      <c r="D25" s="267"/>
      <c r="E25" s="267"/>
      <c r="F25" s="267"/>
      <c r="G25" s="267"/>
      <c r="H25" s="267"/>
      <c r="I25" s="554"/>
      <c r="J25" s="554"/>
      <c r="K25" s="554"/>
      <c r="L25" s="563"/>
      <c r="M25" s="563"/>
      <c r="N25" s="563"/>
      <c r="O25" s="563"/>
      <c r="P25" s="563"/>
      <c r="Q25" s="262"/>
      <c r="R25" s="354"/>
      <c r="S25" s="354"/>
      <c r="T25" s="354"/>
      <c r="U25" s="267"/>
      <c r="V25" s="267"/>
      <c r="W25" s="267"/>
      <c r="X25" s="267"/>
      <c r="Y25" s="267"/>
      <c r="Z25" s="554"/>
      <c r="AA25" s="554"/>
      <c r="AB25" s="554"/>
      <c r="AC25" s="563"/>
      <c r="AD25" s="563"/>
      <c r="AE25" s="563"/>
      <c r="AF25" s="563"/>
      <c r="AG25" s="563"/>
      <c r="AH25" s="65" t="s">
        <v>136</v>
      </c>
      <c r="AI25" s="63" t="s">
        <v>135</v>
      </c>
      <c r="AJ25" s="75">
        <f>I45</f>
        <v>0</v>
      </c>
      <c r="AK25" s="76">
        <f>K45</f>
        <v>0</v>
      </c>
      <c r="AL25" s="77" t="s">
        <v>144</v>
      </c>
      <c r="AM25" s="47" t="s">
        <v>145</v>
      </c>
      <c r="AN25" s="44" t="s">
        <v>137</v>
      </c>
      <c r="AO25" s="45" t="str">
        <f t="shared" si="4"/>
        <v>Draw</v>
      </c>
      <c r="AP25" s="45" t="str">
        <f t="shared" si="5"/>
        <v>Draw</v>
      </c>
      <c r="AQ25" s="45"/>
      <c r="AS25" s="16" t="str">
        <f>KWALIFICATIE!S9</f>
        <v>Amsterdam Finest ss16</v>
      </c>
      <c r="AT25" s="16">
        <f>COUNT(Costa_Rica_Played)</f>
        <v>3</v>
      </c>
      <c r="AU25" s="16">
        <f>COUNTIF(Groupstage_Winners,"Costa Rica")</f>
        <v>0</v>
      </c>
      <c r="AV25" s="16">
        <f>COUNTIF(Groupstage_Losers,"Costa Rica")</f>
        <v>0</v>
      </c>
      <c r="AW25" s="16">
        <f>AT25-(AU25+AV25)</f>
        <v>3</v>
      </c>
      <c r="AX25" s="16">
        <f>SUM(Costa_Rica_Played)</f>
        <v>0</v>
      </c>
      <c r="AY25" s="16">
        <f>SUM(Costa_Rica_Against)</f>
        <v>0</v>
      </c>
      <c r="AZ25" s="16">
        <f>AX25-AY25</f>
        <v>0</v>
      </c>
      <c r="BA25" s="16">
        <v>0</v>
      </c>
      <c r="BB25" s="16" t="str">
        <f>IF($BA25&lt;=$BA24,$AS25,$AS24)</f>
        <v>Amsterdam Finest ss16</v>
      </c>
      <c r="BC25" s="16">
        <f>VLOOKUP($BB25,$AS22:$BA25,9,FALSE)</f>
        <v>0</v>
      </c>
      <c r="BD25" s="16" t="str">
        <f>IF(BC25&lt;=BC23,BB25,BB23)</f>
        <v>Amsterdam Finest ss16</v>
      </c>
      <c r="BE25" s="16">
        <f>VLOOKUP($BD25,$AS22:$BA25,9,FALSE)</f>
        <v>0</v>
      </c>
      <c r="BF25" s="16" t="str">
        <f>IF($BE25&lt;=$BE22,$BD25,$BD22)</f>
        <v>Amsterdam Finest ss16</v>
      </c>
      <c r="BG25" s="16">
        <f>VLOOKUP($BF25,$AS22:$BA25,9,FALSE)</f>
        <v>0</v>
      </c>
      <c r="BH25" s="16">
        <f>VLOOKUP($BF25,$AS22:$BA25,8,FALSE)</f>
        <v>0</v>
      </c>
      <c r="BI25" s="16" t="str">
        <f>IF(AND($BG24=$BG25,$BH25&gt;$BH24),$BF24,$BF25)</f>
        <v>Amsterdam Finest ss16</v>
      </c>
      <c r="BJ25" s="16">
        <f>VLOOKUP($BI25,$AS22:$BA25,9,FALSE)</f>
        <v>0</v>
      </c>
      <c r="BK25" s="16">
        <f>VLOOKUP($BI25,$AS22:$BA25,8,FALSE)</f>
        <v>0</v>
      </c>
      <c r="BL25" s="16" t="str">
        <f>IF(AND($BJ23=$BJ25,$BK25&gt;$BK23),$BI23,$BI25)</f>
        <v>Amsterdam Finest ss16</v>
      </c>
      <c r="BM25" s="16">
        <f>VLOOKUP($BL25,$AS22:$BA25,9,FALSE)</f>
        <v>0</v>
      </c>
      <c r="BN25" s="16">
        <f>VLOOKUP($BL25,$AS22:$BA25,8,FALSE)</f>
        <v>0</v>
      </c>
      <c r="BO25" s="16" t="str">
        <f>IF(AND($BM22=$BM25,$BN25&gt;$BN22),$BL22,$BL25)</f>
        <v>Amsterdam Finest ss16</v>
      </c>
      <c r="BP25" s="16">
        <f>VLOOKUP($BO25,$AS22:$BA25,9,FALSE)</f>
        <v>0</v>
      </c>
      <c r="BQ25" s="16">
        <f>VLOOKUP($BO25,$AS22:$BA25,8,FALSE)</f>
        <v>0</v>
      </c>
      <c r="BR25" s="16">
        <f>VLOOKUP($BO25,$AS22:$BA25,6,FALSE)</f>
        <v>0</v>
      </c>
      <c r="BS25" s="16" t="str">
        <f>IF(AND($BP24=$BP25,$BQ24=$BQ25,$BR25&gt;$BR24),$BO24,$BO25)</f>
        <v>Amsterdam Finest ss16</v>
      </c>
      <c r="BT25" s="16">
        <f>VLOOKUP($BS25,$AS22:$BA25,9,FALSE)</f>
        <v>0</v>
      </c>
      <c r="BU25" s="16">
        <f>VLOOKUP($BS25,$AS22:$BA25,8,FALSE)</f>
        <v>0</v>
      </c>
      <c r="BV25" s="16">
        <f>VLOOKUP($BS25,$AS22:$BA25,6,FALSE)</f>
        <v>0</v>
      </c>
      <c r="BW25" s="16" t="str">
        <f>IF(AND($BT23=$BT25,$BU23=$BU25,$BV25&gt;$BV23),$BS23,$BS25)</f>
        <v>Amsterdam Finest ss16</v>
      </c>
      <c r="BX25" s="16">
        <f>VLOOKUP($BW25,$AS22:$BA25,9,FALSE)</f>
        <v>0</v>
      </c>
      <c r="BY25" s="16">
        <f>VLOOKUP($BW25,$AS22:$BA25,8,FALSE)</f>
        <v>0</v>
      </c>
      <c r="BZ25" s="16">
        <f>VLOOKUP($BW25,$AS22:$BA25,6,FALSE)</f>
        <v>0</v>
      </c>
      <c r="CA25" s="16" t="str">
        <f>IF(AND($BX22=$BX25,$BY22=$BY25,$BZ25&gt;$BZ22),$BW22,$BW25)</f>
        <v>Amsterdam Finest ss16</v>
      </c>
      <c r="CB25" s="16">
        <f>VLOOKUP($CA25,$AS22:$BA25,9,FALSE)</f>
        <v>0</v>
      </c>
      <c r="CC25" s="16">
        <f>VLOOKUP($CA25,$AS22:$BA25,8,FALSE)</f>
        <v>0</v>
      </c>
      <c r="CD25" s="16">
        <f>VLOOKUP($CA25,$AS22:$BA25,6,FALSE)</f>
        <v>0</v>
      </c>
      <c r="CH25" s="16" t="str">
        <f>CA25</f>
        <v>Amsterdam Finest ss16</v>
      </c>
      <c r="CI25" s="16">
        <f>VLOOKUP($CH25,$AS22:$BA25,2,FALSE)</f>
        <v>3</v>
      </c>
      <c r="CJ25" s="16">
        <f>VLOOKUP($CH25,$AS22:$BA25,3,FALSE)</f>
        <v>0</v>
      </c>
      <c r="CK25" s="16">
        <f>VLOOKUP($CH25,$AS22:$BA25,4,FALSE)</f>
        <v>0</v>
      </c>
      <c r="CL25" s="16">
        <f>VLOOKUP($CH25,$AS22:$BA25,5,FALSE)</f>
        <v>3</v>
      </c>
      <c r="CM25" s="16">
        <f>VLOOKUP($CH25,$AS22:$BA25,6,FALSE)</f>
        <v>0</v>
      </c>
      <c r="CN25" s="16">
        <f>VLOOKUP($CH25,$AS22:$BA25,7,FALSE)</f>
        <v>0</v>
      </c>
      <c r="CO25" s="16">
        <f>VLOOKUP($CH25,$AS22:$BA25,8,FALSE)</f>
        <v>0</v>
      </c>
      <c r="CP25" s="16">
        <f>VLOOKUP($CH25,$AS22:$BA25,9,FALSE)</f>
        <v>0</v>
      </c>
      <c r="CR25" s="21" t="e">
        <f>#REF!</f>
        <v>#REF!</v>
      </c>
    </row>
    <row r="26" spans="1:96" ht="12.95" customHeight="1" thickBot="1" x14ac:dyDescent="0.25">
      <c r="A26" s="561"/>
      <c r="B26" s="561"/>
      <c r="C26" s="353"/>
      <c r="D26" s="349"/>
      <c r="E26" s="353"/>
      <c r="F26" s="553"/>
      <c r="G26" s="553"/>
      <c r="H26" s="553"/>
      <c r="I26" s="266"/>
      <c r="J26" s="353"/>
      <c r="K26" s="268"/>
      <c r="L26" s="553"/>
      <c r="M26" s="553"/>
      <c r="N26" s="553"/>
      <c r="O26" s="553"/>
      <c r="P26" s="553"/>
      <c r="Q26" s="269"/>
      <c r="R26" s="555"/>
      <c r="S26" s="553"/>
      <c r="T26" s="353"/>
      <c r="U26" s="349"/>
      <c r="V26" s="353"/>
      <c r="W26" s="553"/>
      <c r="X26" s="553"/>
      <c r="Y26" s="553"/>
      <c r="Z26" s="266"/>
      <c r="AA26" s="353"/>
      <c r="AB26" s="268"/>
      <c r="AC26" s="553"/>
      <c r="AD26" s="553"/>
      <c r="AE26" s="553"/>
      <c r="AF26" s="553"/>
      <c r="AG26" s="553"/>
      <c r="AH26" s="65" t="s">
        <v>122</v>
      </c>
      <c r="AI26" s="63" t="s">
        <v>121</v>
      </c>
      <c r="AJ26" s="75">
        <f>I14</f>
        <v>4</v>
      </c>
      <c r="AK26" s="76">
        <f>K14</f>
        <v>0</v>
      </c>
      <c r="AL26" s="77" t="s">
        <v>140</v>
      </c>
      <c r="AM26" s="56" t="s">
        <v>141</v>
      </c>
      <c r="AN26" s="44" t="s">
        <v>123</v>
      </c>
      <c r="AO26" s="45" t="str">
        <f t="shared" si="4"/>
        <v>Denmark</v>
      </c>
      <c r="AP26" s="45" t="str">
        <f t="shared" si="5"/>
        <v>Senegal</v>
      </c>
      <c r="AQ26" s="45"/>
      <c r="CR26" s="21" t="e">
        <f>#REF!</f>
        <v>#REF!</v>
      </c>
    </row>
    <row r="27" spans="1:96" ht="12.95" customHeight="1" thickBot="1" x14ac:dyDescent="0.25">
      <c r="A27" s="561"/>
      <c r="B27" s="561"/>
      <c r="C27" s="353"/>
      <c r="D27" s="262"/>
      <c r="E27" s="353"/>
      <c r="F27" s="553"/>
      <c r="G27" s="553"/>
      <c r="H27" s="553"/>
      <c r="I27" s="266"/>
      <c r="J27" s="353"/>
      <c r="K27" s="268"/>
      <c r="L27" s="553"/>
      <c r="M27" s="553"/>
      <c r="N27" s="553"/>
      <c r="O27" s="553"/>
      <c r="P27" s="553"/>
      <c r="Q27" s="269"/>
      <c r="R27" s="555"/>
      <c r="S27" s="553"/>
      <c r="T27" s="353"/>
      <c r="U27" s="262"/>
      <c r="V27" s="353"/>
      <c r="W27" s="553"/>
      <c r="X27" s="553"/>
      <c r="Y27" s="553"/>
      <c r="Z27" s="266"/>
      <c r="AA27" s="353"/>
      <c r="AB27" s="268"/>
      <c r="AC27" s="553"/>
      <c r="AD27" s="553"/>
      <c r="AE27" s="553"/>
      <c r="AF27" s="553"/>
      <c r="AG27" s="553"/>
      <c r="AH27" s="65" t="s">
        <v>149</v>
      </c>
      <c r="AI27" s="63" t="s">
        <v>148</v>
      </c>
      <c r="AJ27" s="75">
        <f>Z45</f>
        <v>0</v>
      </c>
      <c r="AK27" s="76">
        <f>AB45</f>
        <v>0</v>
      </c>
      <c r="AL27" s="77" t="s">
        <v>157</v>
      </c>
      <c r="AM27" s="47" t="s">
        <v>158</v>
      </c>
      <c r="AN27" s="44" t="s">
        <v>127</v>
      </c>
      <c r="AO27" s="45" t="str">
        <f t="shared" si="4"/>
        <v>Draw</v>
      </c>
      <c r="AP27" s="45" t="str">
        <f t="shared" si="5"/>
        <v>Draw</v>
      </c>
      <c r="AQ27" s="45"/>
      <c r="AS27" s="16" t="s">
        <v>203</v>
      </c>
      <c r="CR27" s="21" t="e">
        <f>#REF!</f>
        <v>#REF!</v>
      </c>
    </row>
    <row r="28" spans="1:96" ht="12.95" customHeight="1" thickBot="1" x14ac:dyDescent="0.25">
      <c r="A28" s="561"/>
      <c r="B28" s="561"/>
      <c r="C28" s="353"/>
      <c r="D28" s="262"/>
      <c r="E28" s="353"/>
      <c r="F28" s="553"/>
      <c r="G28" s="553"/>
      <c r="H28" s="553"/>
      <c r="I28" s="266"/>
      <c r="J28" s="353"/>
      <c r="K28" s="268"/>
      <c r="L28" s="553"/>
      <c r="M28" s="553"/>
      <c r="N28" s="553"/>
      <c r="O28" s="553"/>
      <c r="P28" s="553"/>
      <c r="Q28" s="262"/>
      <c r="R28" s="555"/>
      <c r="S28" s="553"/>
      <c r="T28" s="353"/>
      <c r="U28" s="262"/>
      <c r="V28" s="353"/>
      <c r="W28" s="553"/>
      <c r="X28" s="553"/>
      <c r="Y28" s="553"/>
      <c r="Z28" s="266"/>
      <c r="AA28" s="353"/>
      <c r="AB28" s="268"/>
      <c r="AC28" s="553"/>
      <c r="AD28" s="553"/>
      <c r="AE28" s="553"/>
      <c r="AF28" s="553"/>
      <c r="AG28" s="553"/>
      <c r="AH28" s="65" t="s">
        <v>160</v>
      </c>
      <c r="AI28" s="63" t="s">
        <v>161</v>
      </c>
      <c r="AJ28" s="75">
        <f>Z13</f>
        <v>1</v>
      </c>
      <c r="AK28" s="76">
        <f>AB13</f>
        <v>0</v>
      </c>
      <c r="AL28" s="77" t="s">
        <v>151</v>
      </c>
      <c r="AM28" s="47" t="s">
        <v>150</v>
      </c>
      <c r="AN28" s="44" t="s">
        <v>154</v>
      </c>
      <c r="AO28" s="45" t="str">
        <f t="shared" si="4"/>
        <v>Spain</v>
      </c>
      <c r="AP28" s="45" t="str">
        <f t="shared" si="5"/>
        <v>Paraguay</v>
      </c>
      <c r="AQ28" s="45"/>
      <c r="AT28" s="16" t="s">
        <v>124</v>
      </c>
      <c r="AU28" s="16" t="s">
        <v>110</v>
      </c>
      <c r="AV28" s="16" t="s">
        <v>125</v>
      </c>
      <c r="AW28" s="16" t="s">
        <v>126</v>
      </c>
      <c r="AX28" s="16" t="s">
        <v>127</v>
      </c>
      <c r="AY28" s="16" t="s">
        <v>123</v>
      </c>
      <c r="AZ28" s="16" t="s">
        <v>128</v>
      </c>
      <c r="BA28" s="16" t="s">
        <v>129</v>
      </c>
      <c r="CR28" s="21" t="e">
        <f>#REF!</f>
        <v>#REF!</v>
      </c>
    </row>
    <row r="29" spans="1:96" ht="12.95" customHeight="1" thickBot="1" x14ac:dyDescent="0.25">
      <c r="A29" s="561"/>
      <c r="B29" s="561"/>
      <c r="C29" s="353"/>
      <c r="D29" s="262"/>
      <c r="E29" s="353"/>
      <c r="F29" s="553"/>
      <c r="G29" s="553"/>
      <c r="H29" s="553"/>
      <c r="I29" s="266"/>
      <c r="J29" s="353"/>
      <c r="K29" s="268"/>
      <c r="L29" s="553"/>
      <c r="M29" s="553"/>
      <c r="N29" s="553"/>
      <c r="O29" s="553"/>
      <c r="P29" s="553"/>
      <c r="Q29" s="262"/>
      <c r="R29" s="555"/>
      <c r="S29" s="553"/>
      <c r="T29" s="353"/>
      <c r="U29" s="262"/>
      <c r="V29" s="353"/>
      <c r="W29" s="553"/>
      <c r="X29" s="553"/>
      <c r="Y29" s="553"/>
      <c r="Z29" s="266"/>
      <c r="AA29" s="353"/>
      <c r="AB29" s="268"/>
      <c r="AC29" s="553"/>
      <c r="AD29" s="553"/>
      <c r="AE29" s="553"/>
      <c r="AF29" s="553"/>
      <c r="AG29" s="553"/>
      <c r="AH29" s="65" t="s">
        <v>155</v>
      </c>
      <c r="AI29" s="63" t="s">
        <v>156</v>
      </c>
      <c r="AJ29" s="75">
        <f>Z44</f>
        <v>0</v>
      </c>
      <c r="AK29" s="76">
        <f>AB44</f>
        <v>0</v>
      </c>
      <c r="AL29" s="77" t="s">
        <v>147</v>
      </c>
      <c r="AM29" s="47" t="s">
        <v>146</v>
      </c>
      <c r="AN29" s="44" t="s">
        <v>127</v>
      </c>
      <c r="AO29" s="45" t="str">
        <f t="shared" si="4"/>
        <v>Draw</v>
      </c>
      <c r="AP29" s="45" t="str">
        <f t="shared" si="5"/>
        <v>Draw</v>
      </c>
      <c r="AQ29" s="45"/>
      <c r="AS29" s="16" t="str">
        <f>KWALIFICATIE!Z5</f>
        <v>IAMB&amp;B</v>
      </c>
      <c r="AT29" s="16">
        <f>COUNT(South_Korea_Played)</f>
        <v>3</v>
      </c>
      <c r="AU29" s="16">
        <f>COUNTIF(Groupstage_Winners,"South Korea")</f>
        <v>0</v>
      </c>
      <c r="AV29" s="16">
        <f>COUNTIF(Groupstage_Losers,"South Korea")</f>
        <v>0</v>
      </c>
      <c r="AW29" s="16">
        <f>AT29-(AU29+AV29)</f>
        <v>3</v>
      </c>
      <c r="AX29" s="16">
        <f>SUM(South_Korea_Played)</f>
        <v>0</v>
      </c>
      <c r="AY29" s="16">
        <f>SUM(South_Korea_Against)</f>
        <v>0</v>
      </c>
      <c r="AZ29" s="16">
        <f>AX29-AY29</f>
        <v>0</v>
      </c>
      <c r="BA29" s="16">
        <v>0</v>
      </c>
      <c r="BB29" s="16" t="str">
        <f>IF($BA29&gt;=$BA30,$AS29,$AS30)</f>
        <v>IAMB&amp;B</v>
      </c>
      <c r="BC29" s="16">
        <f>VLOOKUP($BB29,$AS29:$BA33,9,FALSE)</f>
        <v>0</v>
      </c>
      <c r="BD29" s="16" t="str">
        <f>IF($BC29&gt;=$BC31,$BB29,$BB31)</f>
        <v>IAMB&amp;B</v>
      </c>
      <c r="BE29" s="16">
        <f>VLOOKUP($BD29,$AS29:$BA33,9,FALSE)</f>
        <v>0</v>
      </c>
      <c r="BF29" s="16" t="str">
        <f>IF($BE29&gt;=$BE33,$BD29,$BD33)</f>
        <v>IAMB&amp;B</v>
      </c>
      <c r="BG29" s="16">
        <f>VLOOKUP($BF29,$AS29:$BA33,9,FALSE)</f>
        <v>0</v>
      </c>
      <c r="BH29" s="16">
        <f>VLOOKUP($BF29,$AS29:$BA33,8,FALSE)</f>
        <v>0</v>
      </c>
      <c r="BI29" s="16" t="str">
        <f>IF(AND($BG29=$BG30,$BH30&gt;$BH29),$BF30,$BF29)</f>
        <v>IAMB&amp;B</v>
      </c>
      <c r="BJ29" s="16">
        <f>VLOOKUP($BI29,$AS29:$BA33,9,FALSE)</f>
        <v>0</v>
      </c>
      <c r="BK29" s="16">
        <f>VLOOKUP($BI29,$AS29:$BA33,8,FALSE)</f>
        <v>0</v>
      </c>
      <c r="BL29" s="16" t="str">
        <f>IF(AND($BJ29=$BJ31,$BK31&gt;$BK29),$BI31,$BI29)</f>
        <v>IAMB&amp;B</v>
      </c>
      <c r="BM29" s="16">
        <f>VLOOKUP($BL29,$AS29:$BA33,9,FALSE)</f>
        <v>0</v>
      </c>
      <c r="BN29" s="16">
        <f>VLOOKUP($BL29,$AS29:$BA33,8,FALSE)</f>
        <v>0</v>
      </c>
      <c r="BO29" s="16" t="str">
        <f>IF(AND($BM29=$BM33,$BN33&gt;$BN29),$BL33,$BL29)</f>
        <v>IAMB&amp;B</v>
      </c>
      <c r="BP29" s="16">
        <f>VLOOKUP($BO29,$AS29:$BA33,9,FALSE)</f>
        <v>0</v>
      </c>
      <c r="BQ29" s="16">
        <f>VLOOKUP($BO29,$AS29:$BA33,8,FALSE)</f>
        <v>0</v>
      </c>
      <c r="BR29" s="16">
        <f>VLOOKUP($BO29,$AS29:$BA33,6,FALSE)</f>
        <v>0</v>
      </c>
      <c r="BS29" s="16" t="str">
        <f>IF(AND($BP29=$BP30,$BQ29=$BQ30,$BR30&gt;$BR29),$BO30,$BO29)</f>
        <v>IAMB&amp;B</v>
      </c>
      <c r="BT29" s="16">
        <f>VLOOKUP($BS29,$AS29:$BA33,9,FALSE)</f>
        <v>0</v>
      </c>
      <c r="BU29" s="16">
        <f>VLOOKUP($BS29,$AS29:$BA33,8,FALSE)</f>
        <v>0</v>
      </c>
      <c r="BV29" s="16">
        <f>VLOOKUP($BS29,$AS29:$BA33,6,FALSE)</f>
        <v>0</v>
      </c>
      <c r="BW29" s="16" t="str">
        <f>IF(AND($BT29=$BT31,$BU29=$BU31,$BV31&gt;$BV29),$BS31,$BS29)</f>
        <v>IAMB&amp;B</v>
      </c>
      <c r="BX29" s="16">
        <f>VLOOKUP($BW29,$AS29:$BA33,9,FALSE)</f>
        <v>0</v>
      </c>
      <c r="BY29" s="16">
        <f>VLOOKUP($BW29,$AS29:$BA33,8,FALSE)</f>
        <v>0</v>
      </c>
      <c r="BZ29" s="16">
        <f>VLOOKUP($BW29,$AS29:$BA33,6,FALSE)</f>
        <v>0</v>
      </c>
      <c r="CA29" s="16" t="str">
        <f>IF(AND($BX29=$BX33,$BY29=$BY33,$BZ33&gt;$BZ29),$BW33,$BW29)</f>
        <v>IAMB&amp;B</v>
      </c>
      <c r="CB29" s="16">
        <f>VLOOKUP($CA29,$AS29:$BA33,9,FALSE)</f>
        <v>0</v>
      </c>
      <c r="CC29" s="16">
        <f>VLOOKUP($CA29,$AS29:$BA33,8,FALSE)</f>
        <v>0</v>
      </c>
      <c r="CD29" s="16">
        <f>VLOOKUP($CA29,$AS29:$BA33,6,FALSE)</f>
        <v>0</v>
      </c>
      <c r="CH29" s="16" t="str">
        <f>CA29</f>
        <v>IAMB&amp;B</v>
      </c>
      <c r="CI29" s="16">
        <f>VLOOKUP($CH29,$AS29:$BA33,2,FALSE)</f>
        <v>3</v>
      </c>
      <c r="CJ29" s="16">
        <f>VLOOKUP($CH29,$AS29:$BA33,3,FALSE)</f>
        <v>0</v>
      </c>
      <c r="CK29" s="16">
        <f>VLOOKUP($CH29,$AS29:$BA33,4,FALSE)</f>
        <v>0</v>
      </c>
      <c r="CL29" s="16">
        <f>VLOOKUP($CH29,$AS29:$BA33,5,FALSE)</f>
        <v>3</v>
      </c>
      <c r="CM29" s="16">
        <f>VLOOKUP($CH29,$AS29:$BA33,6,FALSE)</f>
        <v>0</v>
      </c>
      <c r="CN29" s="16">
        <f>VLOOKUP($CH29,$AS29:$BA33,7,FALSE)</f>
        <v>0</v>
      </c>
      <c r="CO29" s="16">
        <f>VLOOKUP($CH29,$AS29:$BA33,8,FALSE)</f>
        <v>0</v>
      </c>
      <c r="CP29" s="16">
        <f>VLOOKUP($CH29,$AS29:$BA33,9,FALSE)</f>
        <v>0</v>
      </c>
      <c r="CR29" s="21" t="e">
        <f>#REF!</f>
        <v>#REF!</v>
      </c>
    </row>
    <row r="30" spans="1:96" ht="12.95" customHeight="1" thickBot="1" x14ac:dyDescent="0.25">
      <c r="A30" s="561"/>
      <c r="B30" s="561"/>
      <c r="C30" s="353"/>
      <c r="D30" s="262"/>
      <c r="E30" s="353"/>
      <c r="F30" s="553"/>
      <c r="G30" s="553"/>
      <c r="H30" s="553"/>
      <c r="I30" s="266"/>
      <c r="J30" s="353"/>
      <c r="K30" s="268"/>
      <c r="L30" s="553"/>
      <c r="M30" s="553"/>
      <c r="N30" s="553"/>
      <c r="O30" s="553"/>
      <c r="P30" s="553"/>
      <c r="Q30" s="262"/>
      <c r="R30" s="555"/>
      <c r="S30" s="553"/>
      <c r="T30" s="353"/>
      <c r="U30" s="262"/>
      <c r="V30" s="353"/>
      <c r="W30" s="553"/>
      <c r="X30" s="553"/>
      <c r="Y30" s="553"/>
      <c r="Z30" s="266"/>
      <c r="AA30" s="353"/>
      <c r="AB30" s="268"/>
      <c r="AC30" s="553"/>
      <c r="AD30" s="553"/>
      <c r="AE30" s="553"/>
      <c r="AF30" s="553"/>
      <c r="AG30" s="553"/>
      <c r="AH30" s="65" t="s">
        <v>153</v>
      </c>
      <c r="AI30" s="63" t="s">
        <v>152</v>
      </c>
      <c r="AJ30" s="75">
        <f>Z14</f>
        <v>0</v>
      </c>
      <c r="AK30" s="76">
        <f>AB14</f>
        <v>1</v>
      </c>
      <c r="AL30" s="77" t="s">
        <v>162</v>
      </c>
      <c r="AM30" s="47" t="s">
        <v>163</v>
      </c>
      <c r="AN30" s="44" t="s">
        <v>154</v>
      </c>
      <c r="AO30" s="45" t="str">
        <f t="shared" si="4"/>
        <v>Slovenia</v>
      </c>
      <c r="AP30" s="45" t="str">
        <f t="shared" si="5"/>
        <v>South Africa</v>
      </c>
      <c r="AQ30" s="45"/>
      <c r="AS30" s="16" t="str">
        <f>KWALIFICATIE!Z6</f>
        <v>FC Papa</v>
      </c>
      <c r="AT30" s="16">
        <f>COUNT(Poland_Played)</f>
        <v>3</v>
      </c>
      <c r="AU30" s="16">
        <f>COUNTIF(Groupstage_Winners,"Poland")</f>
        <v>0</v>
      </c>
      <c r="AV30" s="16">
        <f>COUNTIF(Groupstage_Losers,"Poland")</f>
        <v>0</v>
      </c>
      <c r="AW30" s="16">
        <f>AT30-(AU30+AV30)</f>
        <v>3</v>
      </c>
      <c r="AX30" s="16">
        <f>SUM(Poland_Played)</f>
        <v>0</v>
      </c>
      <c r="AY30" s="16">
        <f>SUM(Poland_Against)</f>
        <v>0</v>
      </c>
      <c r="AZ30" s="16">
        <f>AX30-AY30</f>
        <v>0</v>
      </c>
      <c r="BA30" s="16">
        <v>0</v>
      </c>
      <c r="BB30" s="16" t="str">
        <f>IF($BA30&lt;=$BA29,$AS30,$AS29)</f>
        <v>FC Papa</v>
      </c>
      <c r="BC30" s="16">
        <f>VLOOKUP($BB30,$AS29:$BA33,9,FALSE)</f>
        <v>0</v>
      </c>
      <c r="BD30" s="16" t="str">
        <f>IF(BC30&gt;=BC33,BB30,BB33)</f>
        <v>FC Papa</v>
      </c>
      <c r="BE30" s="16">
        <f>VLOOKUP($BD30,$AS29:$BA33,9,FALSE)</f>
        <v>0</v>
      </c>
      <c r="BF30" s="16" t="str">
        <f>IF($BE30&gt;=$BE31,$BD30,$BD31)</f>
        <v>FC Papa</v>
      </c>
      <c r="BG30" s="16">
        <f>VLOOKUP($BF30,$AS29:$BA33,9,FALSE)</f>
        <v>0</v>
      </c>
      <c r="BH30" s="16">
        <f>VLOOKUP($BF30,$AS29:$BA33,8,FALSE)</f>
        <v>0</v>
      </c>
      <c r="BI30" s="16" t="str">
        <f>IF(AND($BG29=$BG30,$BH30&gt;$BH29),$BF29,$BF30)</f>
        <v>FC Papa</v>
      </c>
      <c r="BJ30" s="16">
        <f>VLOOKUP($BI30,$AS29:$BA33,9,FALSE)</f>
        <v>0</v>
      </c>
      <c r="BK30" s="16">
        <f>VLOOKUP($BI30,$AS29:$BA33,8,FALSE)</f>
        <v>0</v>
      </c>
      <c r="BL30" s="16" t="str">
        <f>IF(AND($BJ30=$BJ33,$BK33&gt;$BK30),$BI33,$BI30)</f>
        <v>FC Papa</v>
      </c>
      <c r="BM30" s="16">
        <f>VLOOKUP($BL30,$AS29:$BA33,9,FALSE)</f>
        <v>0</v>
      </c>
      <c r="BN30" s="16">
        <f>VLOOKUP($BL30,$AS29:$BA33,8,FALSE)</f>
        <v>0</v>
      </c>
      <c r="BO30" s="16" t="str">
        <f>IF(AND($BM30=$BM31,$BN31&gt;$BN30),$BL31,$BL30)</f>
        <v>FC Papa</v>
      </c>
      <c r="BP30" s="16">
        <f>VLOOKUP($BO30,$AS29:$BA33,9,FALSE)</f>
        <v>0</v>
      </c>
      <c r="BQ30" s="16">
        <f>VLOOKUP($BO30,$AS29:$BA33,8,FALSE)</f>
        <v>0</v>
      </c>
      <c r="BR30" s="16">
        <f>VLOOKUP($BO30,$AS29:$BA33,6,FALSE)</f>
        <v>0</v>
      </c>
      <c r="BS30" s="16" t="str">
        <f>IF(AND($BP29=$BP30,$BQ29=$BQ30,$BR30&gt;$BR29),$BO29,$BO30)</f>
        <v>FC Papa</v>
      </c>
      <c r="BT30" s="16">
        <f>VLOOKUP($BS30,$AS29:$BA33,9,FALSE)</f>
        <v>0</v>
      </c>
      <c r="BU30" s="16">
        <f>VLOOKUP($BS30,$AS29:$BA33,8,FALSE)</f>
        <v>0</v>
      </c>
      <c r="BV30" s="16">
        <f>VLOOKUP($BS30,$AS29:$BA33,6,FALSE)</f>
        <v>0</v>
      </c>
      <c r="BW30" s="16" t="str">
        <f>IF(AND($BT30=$BT33,$BU30=$BU33,$BV33&gt;$BV30),$BS33,$BS30)</f>
        <v>FC Papa</v>
      </c>
      <c r="BX30" s="16">
        <f>VLOOKUP($BW30,$AS29:$BA33,9,FALSE)</f>
        <v>0</v>
      </c>
      <c r="BY30" s="16">
        <f>VLOOKUP($BW30,$AS29:$BA33,8,FALSE)</f>
        <v>0</v>
      </c>
      <c r="BZ30" s="16">
        <f>VLOOKUP($BW30,$AS29:$BA33,6,FALSE)</f>
        <v>0</v>
      </c>
      <c r="CA30" s="16" t="str">
        <f>IF(AND($BX30=$BX31,$BY30=$BY31,$BZ31&gt;$BZ30),$BW31,$BW30)</f>
        <v>FC Papa</v>
      </c>
      <c r="CB30" s="16">
        <f>VLOOKUP($CA30,$AS29:$BA33,9,FALSE)</f>
        <v>0</v>
      </c>
      <c r="CC30" s="16">
        <f>VLOOKUP($CA30,$AS29:$BA33,8,FALSE)</f>
        <v>0</v>
      </c>
      <c r="CD30" s="16">
        <f>VLOOKUP($CA30,$AS29:$BA33,6,FALSE)</f>
        <v>0</v>
      </c>
      <c r="CH30" s="16" t="str">
        <f>CA30</f>
        <v>FC Papa</v>
      </c>
      <c r="CI30" s="16">
        <f>VLOOKUP($CH30,$AS29:$BA33,2,FALSE)</f>
        <v>3</v>
      </c>
      <c r="CJ30" s="16">
        <f>VLOOKUP($CH30,$AS29:$BA33,3,FALSE)</f>
        <v>0</v>
      </c>
      <c r="CK30" s="16">
        <f>VLOOKUP($CH30,$AS29:$BA33,4,FALSE)</f>
        <v>0</v>
      </c>
      <c r="CL30" s="16">
        <f>VLOOKUP($CH30,$AS29:$BA33,5,FALSE)</f>
        <v>3</v>
      </c>
      <c r="CM30" s="16">
        <f>VLOOKUP($CH30,$AS29:$BA33,6,FALSE)</f>
        <v>0</v>
      </c>
      <c r="CN30" s="16">
        <f>VLOOKUP($CH30,$AS29:$BA33,7,FALSE)</f>
        <v>0</v>
      </c>
      <c r="CO30" s="16">
        <f>VLOOKUP($CH30,$AS29:$BA33,8,FALSE)</f>
        <v>0</v>
      </c>
      <c r="CP30" s="16">
        <f>VLOOKUP($CH30,$AS29:$BA33,9,FALSE)</f>
        <v>0</v>
      </c>
      <c r="CR30" s="21" t="e">
        <f>#REF!</f>
        <v>#REF!</v>
      </c>
    </row>
    <row r="31" spans="1:96" ht="12.95" customHeight="1" thickBot="1" x14ac:dyDescent="0.25">
      <c r="A31" s="561"/>
      <c r="B31" s="562"/>
      <c r="C31" s="353"/>
      <c r="D31" s="262"/>
      <c r="E31" s="353"/>
      <c r="F31" s="553"/>
      <c r="G31" s="553"/>
      <c r="H31" s="553"/>
      <c r="I31" s="266"/>
      <c r="J31" s="353"/>
      <c r="K31" s="268"/>
      <c r="L31" s="553"/>
      <c r="M31" s="553"/>
      <c r="N31" s="553"/>
      <c r="O31" s="553"/>
      <c r="P31" s="553"/>
      <c r="Q31" s="262"/>
      <c r="R31" s="555"/>
      <c r="S31" s="553"/>
      <c r="T31" s="353"/>
      <c r="U31" s="262"/>
      <c r="V31" s="353"/>
      <c r="W31" s="553"/>
      <c r="X31" s="553"/>
      <c r="Y31" s="553"/>
      <c r="Z31" s="266"/>
      <c r="AA31" s="353"/>
      <c r="AB31" s="268"/>
      <c r="AC31" s="553"/>
      <c r="AD31" s="553"/>
      <c r="AE31" s="553"/>
      <c r="AF31" s="553"/>
      <c r="AG31" s="553"/>
      <c r="AH31" s="65" t="s">
        <v>173</v>
      </c>
      <c r="AI31" s="63" t="s">
        <v>174</v>
      </c>
      <c r="AJ31" s="75">
        <f>I59</f>
        <v>0</v>
      </c>
      <c r="AK31" s="76">
        <f>K59</f>
        <v>0</v>
      </c>
      <c r="AL31" s="77" t="s">
        <v>165</v>
      </c>
      <c r="AM31" s="47" t="s">
        <v>164</v>
      </c>
      <c r="AN31" s="44" t="s">
        <v>111</v>
      </c>
      <c r="AO31" s="45" t="str">
        <f t="shared" si="4"/>
        <v>Draw</v>
      </c>
      <c r="AP31" s="45" t="str">
        <f t="shared" si="5"/>
        <v>Draw</v>
      </c>
      <c r="AQ31" s="45"/>
      <c r="AS31" s="16" t="str">
        <f>KWALIFICATIE!Z7</f>
        <v>Veddetero's klunzen</v>
      </c>
      <c r="AT31" s="16">
        <f>COUNT(USA_Played)</f>
        <v>3</v>
      </c>
      <c r="AU31" s="16">
        <f>COUNTIF(Groupstage_Winners,"USA")</f>
        <v>0</v>
      </c>
      <c r="AV31" s="16">
        <f>COUNTIF(Groupstage_Losers,"USA")</f>
        <v>0</v>
      </c>
      <c r="AW31" s="16">
        <f>AT31-(AU31+AV31)</f>
        <v>3</v>
      </c>
      <c r="AX31" s="16">
        <f>SUM(USA_Played)</f>
        <v>0</v>
      </c>
      <c r="AY31" s="16">
        <f>SUM(USA_Against)</f>
        <v>0</v>
      </c>
      <c r="AZ31" s="16">
        <f>AX31-AY31</f>
        <v>0</v>
      </c>
      <c r="BA31" s="16">
        <v>0</v>
      </c>
      <c r="BB31" s="16" t="str">
        <f>IF($BA31&gt;=$BA33,$AS31,$AS33)</f>
        <v>Veddetero's klunzen</v>
      </c>
      <c r="BC31" s="16">
        <f>VLOOKUP($BB31,$AS29:$BA33,9,FALSE)</f>
        <v>0</v>
      </c>
      <c r="BD31" s="16" t="str">
        <f>IF($BC31&lt;=$BC29,$BB31,$BB29)</f>
        <v>Veddetero's klunzen</v>
      </c>
      <c r="BE31" s="16">
        <f>VLOOKUP($BD31,$AS29:$BA33,9,FALSE)</f>
        <v>0</v>
      </c>
      <c r="BF31" s="16" t="str">
        <f>IF($BE31&lt;=$BE30,$BD31,$BD30)</f>
        <v>Veddetero's klunzen</v>
      </c>
      <c r="BG31" s="16">
        <f>VLOOKUP($BF31,$AS29:$BA33,9,FALSE)</f>
        <v>0</v>
      </c>
      <c r="BH31" s="16">
        <f>VLOOKUP($BF31,$AS29:$BA33,8,FALSE)</f>
        <v>0</v>
      </c>
      <c r="BI31" s="16" t="str">
        <f>IF(AND($BG31=$BG33,$BH33&gt;$BH31),$BF33,$BF31)</f>
        <v>Veddetero's klunzen</v>
      </c>
      <c r="BJ31" s="16">
        <f>VLOOKUP($BI31,$AS29:$BA33,9,FALSE)</f>
        <v>0</v>
      </c>
      <c r="BK31" s="16">
        <f>VLOOKUP($BI31,$AS29:$BA33,8,FALSE)</f>
        <v>0</v>
      </c>
      <c r="BL31" s="16" t="str">
        <f>IF(AND($BJ29=$BJ31,$BK31&gt;$BK29),$BI29,$BI31)</f>
        <v>Veddetero's klunzen</v>
      </c>
      <c r="BM31" s="16">
        <f>VLOOKUP($BL31,$AS29:$BA33,9,FALSE)</f>
        <v>0</v>
      </c>
      <c r="BN31" s="16">
        <f>VLOOKUP($BL31,$AS29:$BA33,8,FALSE)</f>
        <v>0</v>
      </c>
      <c r="BO31" s="16" t="str">
        <f>IF(AND($BM30=$BM31,$BN31&gt;$BN30),$BL30,$BL31)</f>
        <v>Veddetero's klunzen</v>
      </c>
      <c r="BP31" s="16">
        <f>VLOOKUP($BO31,$AS29:$BA33,9,FALSE)</f>
        <v>0</v>
      </c>
      <c r="BQ31" s="16">
        <f>VLOOKUP($BO31,$AS29:$BA33,8,FALSE)</f>
        <v>0</v>
      </c>
      <c r="BR31" s="16">
        <f>VLOOKUP($BO31,$AS29:$BA33,6,FALSE)</f>
        <v>0</v>
      </c>
      <c r="BS31" s="16" t="str">
        <f>IF(AND($BP31=$BP33,$BQ31=$BQ33,$BR33&gt;$BR31),$BO33,$BO31)</f>
        <v>Veddetero's klunzen</v>
      </c>
      <c r="BT31" s="16">
        <f>VLOOKUP($BS31,$AS29:$BA33,9,FALSE)</f>
        <v>0</v>
      </c>
      <c r="BU31" s="16">
        <f>VLOOKUP($BS31,$AS29:$BA33,8,FALSE)</f>
        <v>0</v>
      </c>
      <c r="BV31" s="16">
        <f>VLOOKUP($BS31,$AS29:$BA33,6,FALSE)</f>
        <v>0</v>
      </c>
      <c r="BW31" s="16" t="str">
        <f>IF(AND($BT29=$BT31,$BU29=$BU31,$BV30&gt;$BV29),$BS29,$BS31)</f>
        <v>Veddetero's klunzen</v>
      </c>
      <c r="BX31" s="16">
        <f>VLOOKUP($BW31,$AS29:$BA33,9,FALSE)</f>
        <v>0</v>
      </c>
      <c r="BY31" s="16">
        <f>VLOOKUP($BW31,$AS29:$BA33,8,FALSE)</f>
        <v>0</v>
      </c>
      <c r="BZ31" s="16">
        <f>VLOOKUP($BW31,$AS29:$BA33,6,FALSE)</f>
        <v>0</v>
      </c>
      <c r="CA31" s="16" t="str">
        <f>IF(AND($BX30=$BX31,$BY30=$BY31,$BZ31&gt;$BZ30),$BW30,$BW31)</f>
        <v>Veddetero's klunzen</v>
      </c>
      <c r="CB31" s="16">
        <f>VLOOKUP($CA31,$AS29:$BA33,9,FALSE)</f>
        <v>0</v>
      </c>
      <c r="CC31" s="16">
        <f>VLOOKUP($CA31,$AS29:$BA33,8,FALSE)</f>
        <v>0</v>
      </c>
      <c r="CD31" s="16">
        <f>VLOOKUP($CA31,$AS29:$BA33,6,FALSE)</f>
        <v>0</v>
      </c>
      <c r="CH31" s="16" t="str">
        <f>CA31</f>
        <v>Veddetero's klunzen</v>
      </c>
      <c r="CI31" s="16">
        <f>VLOOKUP($CH31,$AS29:$BA33,2,FALSE)</f>
        <v>3</v>
      </c>
      <c r="CJ31" s="16">
        <f>VLOOKUP($CH31,$AS29:$BA33,3,FALSE)</f>
        <v>0</v>
      </c>
      <c r="CK31" s="16">
        <f>VLOOKUP($CH31,$AS29:$BA33,4,FALSE)</f>
        <v>0</v>
      </c>
      <c r="CL31" s="16">
        <f>VLOOKUP($CH31,$AS29:$BA33,5,FALSE)</f>
        <v>3</v>
      </c>
      <c r="CM31" s="16">
        <f>VLOOKUP($CH31,$AS29:$BA33,6,FALSE)</f>
        <v>0</v>
      </c>
      <c r="CN31" s="16">
        <f>VLOOKUP($CH31,$AS29:$BA33,7,FALSE)</f>
        <v>0</v>
      </c>
      <c r="CO31" s="16">
        <f>VLOOKUP($CH31,$AS29:$BA33,8,FALSE)</f>
        <v>0</v>
      </c>
      <c r="CP31" s="16">
        <f>VLOOKUP($CH31,$AS29:$BA33,9,FALSE)</f>
        <v>0</v>
      </c>
      <c r="CR31" s="21" t="e">
        <f>#REF!</f>
        <v>#REF!</v>
      </c>
    </row>
    <row r="32" spans="1:96" ht="24.75" customHeight="1" thickBot="1" x14ac:dyDescent="0.35">
      <c r="A32" s="557"/>
      <c r="B32" s="557"/>
      <c r="C32" s="557"/>
      <c r="D32" s="557"/>
      <c r="E32" s="557"/>
      <c r="F32" s="557"/>
      <c r="G32" s="557"/>
      <c r="H32" s="557"/>
      <c r="I32" s="557"/>
      <c r="J32" s="557"/>
      <c r="K32" s="557"/>
      <c r="L32" s="557"/>
      <c r="M32" s="557"/>
      <c r="N32" s="557"/>
      <c r="O32" s="557"/>
      <c r="P32" s="557"/>
      <c r="Q32" s="557"/>
      <c r="R32" s="557"/>
      <c r="S32" s="557"/>
      <c r="T32" s="557"/>
      <c r="U32" s="557"/>
      <c r="V32" s="557"/>
      <c r="W32" s="557"/>
      <c r="X32" s="557"/>
      <c r="Y32" s="557"/>
      <c r="Z32" s="557"/>
      <c r="AA32" s="557"/>
      <c r="AB32" s="557"/>
      <c r="AC32" s="557"/>
      <c r="AD32" s="557"/>
      <c r="AE32" s="557"/>
      <c r="AF32" s="557"/>
      <c r="AG32" s="557"/>
      <c r="AH32" s="57"/>
      <c r="AJ32" s="59"/>
      <c r="AK32" s="60"/>
      <c r="AL32" s="60"/>
      <c r="AM32" s="53"/>
      <c r="AN32" s="17"/>
      <c r="AO32" s="17"/>
      <c r="AP32" s="17"/>
      <c r="AQ32" s="17"/>
    </row>
    <row r="33" spans="1:96" ht="13.5" thickBot="1" x14ac:dyDescent="0.2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65" t="s">
        <v>168</v>
      </c>
      <c r="AI33" s="63" t="s">
        <v>169</v>
      </c>
      <c r="AJ33" s="75">
        <f>I28</f>
        <v>0</v>
      </c>
      <c r="AK33" s="76">
        <f>K28</f>
        <v>0</v>
      </c>
      <c r="AL33" s="77" t="s">
        <v>178</v>
      </c>
      <c r="AM33" s="47" t="s">
        <v>177</v>
      </c>
      <c r="AN33" s="44" t="s">
        <v>172</v>
      </c>
      <c r="AO33" s="45" t="str">
        <f t="shared" ref="AO33:AO55" si="7">IF(AJ33&lt;&gt;"",IF(AJ33&gt;AK33,AI33,IF(AK33&gt;AJ33,AL33,"Draw")),"")</f>
        <v>Draw</v>
      </c>
      <c r="AP33" s="45" t="str">
        <f t="shared" ref="AP33:AP55" si="8">IF(AJ33&lt;&gt;"",IF(AJ33&lt;AK33,AI33,IF(AK33&lt;AJ33,AL33,"Draw")),"")</f>
        <v>Draw</v>
      </c>
      <c r="AQ33" s="45"/>
      <c r="AS33" s="16" t="str">
        <f>KWALIFICATIE!Z9</f>
        <v>FC Vondelpark</v>
      </c>
      <c r="AT33" s="16">
        <f>COUNT(Portugal_Played)</f>
        <v>3</v>
      </c>
      <c r="AU33" s="16">
        <f>COUNTIF(Groupstage_Winners,"Portugal")</f>
        <v>0</v>
      </c>
      <c r="AV33" s="16">
        <f>COUNTIF(Groupstage_Losers,"Portugal")</f>
        <v>0</v>
      </c>
      <c r="AW33" s="16">
        <f>AT33-(AU33+AV33)</f>
        <v>3</v>
      </c>
      <c r="AX33" s="16">
        <f>SUM(Portugal_Played)</f>
        <v>0</v>
      </c>
      <c r="AY33" s="16">
        <f>SUM(Portugal_Against)</f>
        <v>0</v>
      </c>
      <c r="AZ33" s="16">
        <f>AX33-AY33</f>
        <v>0</v>
      </c>
      <c r="BA33" s="16">
        <v>0</v>
      </c>
      <c r="BB33" s="16" t="str">
        <f>IF($BA33&lt;=$BA31,$AS33,$AS31)</f>
        <v>FC Vondelpark</v>
      </c>
      <c r="BC33" s="16">
        <f>VLOOKUP($BB33,$AS29:$BA33,9,FALSE)</f>
        <v>0</v>
      </c>
      <c r="BD33" s="16" t="str">
        <f>IF(BC33&lt;=BC30,BB33,BB30)</f>
        <v>FC Vondelpark</v>
      </c>
      <c r="BE33" s="16">
        <f>VLOOKUP($BD33,$AS29:$BA33,9,FALSE)</f>
        <v>0</v>
      </c>
      <c r="BF33" s="16" t="str">
        <f>IF($BE33&lt;=$BE29,$BD33,$BD29)</f>
        <v>FC Vondelpark</v>
      </c>
      <c r="BG33" s="16">
        <f>VLOOKUP($BF33,$AS29:$BA33,9,FALSE)</f>
        <v>0</v>
      </c>
      <c r="BH33" s="16">
        <f>VLOOKUP($BF33,$AS29:$BA33,8,FALSE)</f>
        <v>0</v>
      </c>
      <c r="BI33" s="16" t="str">
        <f>IF(AND($BG31=$BG33,$BH33&gt;$BH31),$BF31,$BF33)</f>
        <v>FC Vondelpark</v>
      </c>
      <c r="BJ33" s="16">
        <f>VLOOKUP($BI33,$AS29:$BA33,9,FALSE)</f>
        <v>0</v>
      </c>
      <c r="BK33" s="16">
        <f>VLOOKUP($BI33,$AS29:$BA33,8,FALSE)</f>
        <v>0</v>
      </c>
      <c r="BL33" s="16" t="str">
        <f>IF(AND($BJ30=$BJ33,$BK33&gt;$BK30),$BI30,$BI33)</f>
        <v>FC Vondelpark</v>
      </c>
      <c r="BM33" s="16">
        <f>VLOOKUP($BL33,$AS29:$BA33,9,FALSE)</f>
        <v>0</v>
      </c>
      <c r="BN33" s="16">
        <f>VLOOKUP($BL33,$AS29:$BA33,8,FALSE)</f>
        <v>0</v>
      </c>
      <c r="BO33" s="16" t="str">
        <f>IF(AND($BM29=$BM33,$BN33&gt;$BN29),$BL29,$BL33)</f>
        <v>FC Vondelpark</v>
      </c>
      <c r="BP33" s="16">
        <f>VLOOKUP($BO33,$AS29:$BA33,9,FALSE)</f>
        <v>0</v>
      </c>
      <c r="BQ33" s="16">
        <f>VLOOKUP($BO33,$AS29:$BA33,8,FALSE)</f>
        <v>0</v>
      </c>
      <c r="BR33" s="16">
        <f>VLOOKUP($BO33,$AS29:$BA33,6,FALSE)</f>
        <v>0</v>
      </c>
      <c r="BS33" s="16" t="str">
        <f>IF(AND($BP31=$BP33,$BQ31=$BQ33,$BR33&gt;$BR31),$BO31,$BO33)</f>
        <v>FC Vondelpark</v>
      </c>
      <c r="BT33" s="16">
        <f>VLOOKUP($BS33,$AS29:$BA33,9,FALSE)</f>
        <v>0</v>
      </c>
      <c r="BU33" s="16">
        <f>VLOOKUP($BS33,$AS29:$BA33,8,FALSE)</f>
        <v>0</v>
      </c>
      <c r="BV33" s="16">
        <f>VLOOKUP($BS33,$AS29:$BA33,6,FALSE)</f>
        <v>0</v>
      </c>
      <c r="BW33" s="16" t="str">
        <f>IF(AND($BT30=$BT33,$BU30=$BU33,$BV33&gt;$BV30),$BS30,$BS33)</f>
        <v>FC Vondelpark</v>
      </c>
      <c r="BX33" s="16">
        <f>VLOOKUP($BW33,$AS29:$BA33,9,FALSE)</f>
        <v>0</v>
      </c>
      <c r="BY33" s="16">
        <f>VLOOKUP($BW33,$AS29:$BA33,8,FALSE)</f>
        <v>0</v>
      </c>
      <c r="BZ33" s="16">
        <f>VLOOKUP($BW33,$AS29:$BA33,6,FALSE)</f>
        <v>0</v>
      </c>
      <c r="CA33" s="16" t="str">
        <f>IF(AND($BX29=$BX33,$BY29=$BY33,$BZ33&gt;$BZ29),$BW29,$BW33)</f>
        <v>FC Vondelpark</v>
      </c>
      <c r="CB33" s="16">
        <f>VLOOKUP($CA33,$AS29:$BA33,9,FALSE)</f>
        <v>0</v>
      </c>
      <c r="CC33" s="16">
        <f>VLOOKUP($CA33,$AS29:$BA33,8,FALSE)</f>
        <v>0</v>
      </c>
      <c r="CD33" s="16">
        <f>VLOOKUP($CA33,$AS29:$BA33,6,FALSE)</f>
        <v>0</v>
      </c>
      <c r="CH33" s="16" t="str">
        <f>CA33</f>
        <v>FC Vondelpark</v>
      </c>
      <c r="CI33" s="16">
        <f>VLOOKUP($CH33,$AS29:$BA33,2,FALSE)</f>
        <v>3</v>
      </c>
      <c r="CJ33" s="16">
        <f>VLOOKUP($CH33,$AS29:$BA33,3,FALSE)</f>
        <v>0</v>
      </c>
      <c r="CK33" s="16">
        <f>VLOOKUP($CH33,$AS29:$BA33,4,FALSE)</f>
        <v>0</v>
      </c>
      <c r="CL33" s="16">
        <f>VLOOKUP($CH33,$AS29:$BA33,5,FALSE)</f>
        <v>3</v>
      </c>
      <c r="CM33" s="16">
        <f>VLOOKUP($CH33,$AS29:$BA33,6,FALSE)</f>
        <v>0</v>
      </c>
      <c r="CN33" s="16">
        <f>VLOOKUP($CH33,$AS29:$BA33,7,FALSE)</f>
        <v>0</v>
      </c>
      <c r="CO33" s="16">
        <f>VLOOKUP($CH33,$AS29:$BA33,8,FALSE)</f>
        <v>0</v>
      </c>
      <c r="CP33" s="16">
        <f>VLOOKUP($CH33,$AS29:$BA33,9,FALSE)</f>
        <v>0</v>
      </c>
      <c r="CR33" s="21" t="e">
        <f>#REF!</f>
        <v>#REF!</v>
      </c>
    </row>
    <row r="34" spans="1:96" ht="18.75" thickBot="1" x14ac:dyDescent="0.3">
      <c r="A34" s="546"/>
      <c r="B34" s="546"/>
      <c r="C34" s="546"/>
      <c r="D34" s="546"/>
      <c r="E34" s="546"/>
      <c r="F34" s="546"/>
      <c r="G34" s="546"/>
      <c r="H34" s="546"/>
      <c r="I34" s="546"/>
      <c r="J34" s="546"/>
      <c r="K34" s="546"/>
      <c r="L34" s="546"/>
      <c r="M34" s="546"/>
      <c r="N34" s="546"/>
      <c r="O34" s="546"/>
      <c r="P34" s="546"/>
      <c r="Q34" s="24"/>
      <c r="R34" s="546"/>
      <c r="S34" s="546"/>
      <c r="T34" s="546"/>
      <c r="U34" s="546"/>
      <c r="V34" s="546"/>
      <c r="W34" s="546"/>
      <c r="X34" s="546"/>
      <c r="Y34" s="546"/>
      <c r="Z34" s="546"/>
      <c r="AA34" s="546"/>
      <c r="AB34" s="546"/>
      <c r="AC34" s="546"/>
      <c r="AD34" s="546"/>
      <c r="AE34" s="546"/>
      <c r="AF34" s="546"/>
      <c r="AG34" s="546"/>
      <c r="AH34" s="63" t="s">
        <v>167</v>
      </c>
      <c r="AI34" s="63" t="s">
        <v>166</v>
      </c>
      <c r="AJ34" s="75">
        <f>I60</f>
        <v>0</v>
      </c>
      <c r="AK34" s="76">
        <f>K60</f>
        <v>0</v>
      </c>
      <c r="AL34" s="77" t="s">
        <v>175</v>
      </c>
      <c r="AM34" s="48" t="s">
        <v>176</v>
      </c>
      <c r="AN34" s="44" t="s">
        <v>111</v>
      </c>
      <c r="AO34" s="45" t="str">
        <f t="shared" si="7"/>
        <v>Draw</v>
      </c>
      <c r="AP34" s="45" t="str">
        <f t="shared" si="8"/>
        <v>Draw</v>
      </c>
      <c r="AQ34" s="45"/>
      <c r="CR34" s="21" t="e">
        <f>#REF!</f>
        <v>#REF!</v>
      </c>
    </row>
    <row r="35" spans="1:96" ht="12.95" customHeight="1" thickBot="1" x14ac:dyDescent="0.25">
      <c r="A35" s="24"/>
      <c r="B35" s="24"/>
      <c r="C35" s="24"/>
      <c r="D35" s="24"/>
      <c r="E35" s="24"/>
      <c r="F35" s="24"/>
      <c r="G35" s="338"/>
      <c r="H35" s="338"/>
      <c r="I35" s="338"/>
      <c r="J35" s="522"/>
      <c r="K35" s="522"/>
      <c r="L35" s="522"/>
      <c r="M35" s="522"/>
      <c r="N35" s="522"/>
      <c r="O35" s="338"/>
      <c r="P35" s="338"/>
      <c r="Q35" s="24"/>
      <c r="R35" s="24"/>
      <c r="S35" s="24"/>
      <c r="T35" s="24"/>
      <c r="U35" s="24"/>
      <c r="V35" s="24"/>
      <c r="W35" s="24"/>
      <c r="X35" s="338"/>
      <c r="Y35" s="338"/>
      <c r="Z35" s="338"/>
      <c r="AA35" s="522"/>
      <c r="AB35" s="522"/>
      <c r="AC35" s="522"/>
      <c r="AD35" s="522"/>
      <c r="AE35" s="522"/>
      <c r="AF35" s="338"/>
      <c r="AG35" s="338"/>
      <c r="AH35" s="65" t="s">
        <v>180</v>
      </c>
      <c r="AI35" s="63" t="s">
        <v>179</v>
      </c>
      <c r="AJ35" s="75">
        <f>I29</f>
        <v>0</v>
      </c>
      <c r="AK35" s="76">
        <f>K29</f>
        <v>0</v>
      </c>
      <c r="AL35" s="77" t="s">
        <v>170</v>
      </c>
      <c r="AM35" s="47" t="s">
        <v>171</v>
      </c>
      <c r="AN35" s="44" t="s">
        <v>172</v>
      </c>
      <c r="AO35" s="45" t="str">
        <f t="shared" si="7"/>
        <v>Draw</v>
      </c>
      <c r="AP35" s="45" t="str">
        <f t="shared" si="8"/>
        <v>Draw</v>
      </c>
      <c r="AQ35" s="45"/>
      <c r="CR35" s="21" t="e">
        <f>#REF!</f>
        <v>#REF!</v>
      </c>
    </row>
    <row r="36" spans="1:96" ht="12.95" customHeight="1" thickBot="1" x14ac:dyDescent="0.25">
      <c r="A36" s="522"/>
      <c r="B36" s="522"/>
      <c r="C36" s="46"/>
      <c r="D36" s="24"/>
      <c r="E36" s="24"/>
      <c r="F36" s="24"/>
      <c r="G36" s="345"/>
      <c r="H36" s="345"/>
      <c r="I36" s="283"/>
      <c r="J36" s="547"/>
      <c r="K36" s="547"/>
      <c r="L36" s="152"/>
      <c r="M36" s="283"/>
      <c r="N36" s="153"/>
      <c r="O36" s="345"/>
      <c r="P36" s="283"/>
      <c r="Q36" s="24"/>
      <c r="R36" s="522"/>
      <c r="S36" s="522"/>
      <c r="T36" s="46"/>
      <c r="U36" s="24"/>
      <c r="V36" s="24"/>
      <c r="W36" s="24"/>
      <c r="X36" s="345"/>
      <c r="Y36" s="345"/>
      <c r="Z36" s="283"/>
      <c r="AA36" s="547"/>
      <c r="AB36" s="547"/>
      <c r="AC36" s="152"/>
      <c r="AD36" s="283"/>
      <c r="AE36" s="153"/>
      <c r="AF36" s="345"/>
      <c r="AG36" s="283"/>
      <c r="AH36" s="63" t="s">
        <v>181</v>
      </c>
      <c r="AI36" s="63" t="s">
        <v>182</v>
      </c>
      <c r="AJ36" s="75">
        <f>Z59</f>
        <v>0</v>
      </c>
      <c r="AK36" s="76">
        <f>AB59</f>
        <v>0</v>
      </c>
      <c r="AL36" s="77" t="s">
        <v>194</v>
      </c>
      <c r="AM36" s="48" t="s">
        <v>193</v>
      </c>
      <c r="AN36" s="44" t="s">
        <v>185</v>
      </c>
      <c r="AO36" s="45" t="str">
        <f t="shared" si="7"/>
        <v>Draw</v>
      </c>
      <c r="AP36" s="45" t="str">
        <f t="shared" si="8"/>
        <v>Draw</v>
      </c>
      <c r="AQ36" s="45"/>
      <c r="CR36" s="21" t="e">
        <f>#REF!</f>
        <v>#REF!</v>
      </c>
    </row>
    <row r="37" spans="1:96" ht="12.95" customHeight="1" thickBot="1" x14ac:dyDescent="0.25">
      <c r="A37" s="522"/>
      <c r="B37" s="522"/>
      <c r="C37" s="46"/>
      <c r="D37" s="24"/>
      <c r="E37" s="24"/>
      <c r="F37" s="24"/>
      <c r="G37" s="345"/>
      <c r="H37" s="345"/>
      <c r="I37" s="283"/>
      <c r="J37" s="547"/>
      <c r="K37" s="547"/>
      <c r="L37" s="152"/>
      <c r="M37" s="283"/>
      <c r="N37" s="153"/>
      <c r="O37" s="345"/>
      <c r="P37" s="283"/>
      <c r="Q37" s="24"/>
      <c r="R37" s="522"/>
      <c r="S37" s="522"/>
      <c r="T37" s="46"/>
      <c r="U37" s="24"/>
      <c r="V37" s="24"/>
      <c r="W37" s="24"/>
      <c r="X37" s="345"/>
      <c r="Y37" s="345"/>
      <c r="Z37" s="283"/>
      <c r="AA37" s="547"/>
      <c r="AB37" s="547"/>
      <c r="AC37" s="152"/>
      <c r="AD37" s="283"/>
      <c r="AE37" s="153"/>
      <c r="AF37" s="345"/>
      <c r="AG37" s="283"/>
      <c r="AH37" s="63" t="s">
        <v>187</v>
      </c>
      <c r="AI37" s="63" t="s">
        <v>188</v>
      </c>
      <c r="AJ37" s="75">
        <f>Z28</f>
        <v>0</v>
      </c>
      <c r="AK37" s="76">
        <f>AB28</f>
        <v>0</v>
      </c>
      <c r="AL37" s="77" t="s">
        <v>199</v>
      </c>
      <c r="AM37" s="48" t="s">
        <v>198</v>
      </c>
      <c r="AN37" s="44" t="s">
        <v>126</v>
      </c>
      <c r="AO37" s="45" t="str">
        <f t="shared" si="7"/>
        <v>Draw</v>
      </c>
      <c r="AP37" s="45" t="str">
        <f t="shared" si="8"/>
        <v>Draw</v>
      </c>
      <c r="AQ37" s="45"/>
      <c r="AS37" s="16" t="s">
        <v>206</v>
      </c>
      <c r="CR37" s="21" t="e">
        <f>#REF!</f>
        <v>#REF!</v>
      </c>
    </row>
    <row r="38" spans="1:96" ht="12.95" customHeight="1" thickBot="1" x14ac:dyDescent="0.25">
      <c r="A38" s="522"/>
      <c r="B38" s="522"/>
      <c r="C38" s="46"/>
      <c r="D38" s="24"/>
      <c r="E38" s="24"/>
      <c r="F38" s="24"/>
      <c r="G38" s="345"/>
      <c r="H38" s="345"/>
      <c r="I38" s="283"/>
      <c r="J38" s="547"/>
      <c r="K38" s="547"/>
      <c r="L38" s="152"/>
      <c r="M38" s="283"/>
      <c r="N38" s="153"/>
      <c r="O38" s="345"/>
      <c r="P38" s="283"/>
      <c r="Q38" s="24"/>
      <c r="R38" s="522"/>
      <c r="S38" s="522"/>
      <c r="T38" s="46"/>
      <c r="U38" s="24"/>
      <c r="V38" s="24"/>
      <c r="W38" s="24"/>
      <c r="X38" s="345"/>
      <c r="Y38" s="345"/>
      <c r="Z38" s="283"/>
      <c r="AA38" s="547"/>
      <c r="AB38" s="547"/>
      <c r="AC38" s="152"/>
      <c r="AD38" s="283"/>
      <c r="AE38" s="153"/>
      <c r="AF38" s="345"/>
      <c r="AG38" s="283"/>
      <c r="AH38" s="63" t="s">
        <v>196</v>
      </c>
      <c r="AI38" s="63" t="s">
        <v>195</v>
      </c>
      <c r="AJ38" s="75">
        <f>Z60</f>
        <v>0</v>
      </c>
      <c r="AK38" s="76">
        <f>AB60</f>
        <v>0</v>
      </c>
      <c r="AL38" s="77" t="s">
        <v>183</v>
      </c>
      <c r="AM38" s="48" t="s">
        <v>184</v>
      </c>
      <c r="AN38" s="44" t="s">
        <v>185</v>
      </c>
      <c r="AO38" s="45" t="str">
        <f t="shared" si="7"/>
        <v>Draw</v>
      </c>
      <c r="AP38" s="45" t="str">
        <f t="shared" si="8"/>
        <v>Draw</v>
      </c>
      <c r="AQ38" s="45"/>
      <c r="AT38" s="16" t="s">
        <v>124</v>
      </c>
      <c r="AU38" s="16" t="s">
        <v>110</v>
      </c>
      <c r="AV38" s="16" t="s">
        <v>125</v>
      </c>
      <c r="AW38" s="16" t="s">
        <v>126</v>
      </c>
      <c r="AX38" s="16" t="s">
        <v>127</v>
      </c>
      <c r="AY38" s="16" t="s">
        <v>123</v>
      </c>
      <c r="AZ38" s="16" t="s">
        <v>128</v>
      </c>
      <c r="BA38" s="16" t="s">
        <v>129</v>
      </c>
      <c r="BB38" s="16" t="s">
        <v>130</v>
      </c>
      <c r="BC38" s="20" t="s">
        <v>129</v>
      </c>
      <c r="BD38" s="16" t="s">
        <v>130</v>
      </c>
      <c r="BE38" s="20" t="s">
        <v>129</v>
      </c>
      <c r="BF38" s="16" t="s">
        <v>130</v>
      </c>
      <c r="BG38" s="20" t="s">
        <v>129</v>
      </c>
      <c r="BH38" s="20" t="s">
        <v>128</v>
      </c>
      <c r="BI38" s="16" t="s">
        <v>130</v>
      </c>
      <c r="BJ38" s="16" t="s">
        <v>129</v>
      </c>
      <c r="BK38" s="20" t="s">
        <v>128</v>
      </c>
      <c r="BL38" s="16" t="s">
        <v>130</v>
      </c>
      <c r="BM38" s="16" t="s">
        <v>129</v>
      </c>
      <c r="BN38" s="20" t="s">
        <v>128</v>
      </c>
      <c r="BO38" s="16" t="s">
        <v>130</v>
      </c>
      <c r="BP38" s="16" t="s">
        <v>129</v>
      </c>
      <c r="BQ38" s="20" t="s">
        <v>128</v>
      </c>
      <c r="BR38" s="20" t="s">
        <v>127</v>
      </c>
      <c r="BS38" s="16" t="s">
        <v>130</v>
      </c>
      <c r="BT38" s="16" t="s">
        <v>129</v>
      </c>
      <c r="BU38" s="20" t="s">
        <v>128</v>
      </c>
      <c r="BV38" s="20" t="s">
        <v>127</v>
      </c>
      <c r="BW38" s="16" t="s">
        <v>130</v>
      </c>
      <c r="BX38" s="16" t="s">
        <v>129</v>
      </c>
      <c r="BY38" s="20" t="s">
        <v>128</v>
      </c>
      <c r="BZ38" s="20" t="s">
        <v>127</v>
      </c>
      <c r="CA38" s="16" t="s">
        <v>130</v>
      </c>
      <c r="CB38" s="20" t="s">
        <v>129</v>
      </c>
      <c r="CC38" s="20" t="s">
        <v>128</v>
      </c>
      <c r="CD38" s="20" t="s">
        <v>127</v>
      </c>
      <c r="CI38" s="20" t="s">
        <v>131</v>
      </c>
      <c r="CJ38" s="20" t="s">
        <v>110</v>
      </c>
      <c r="CK38" s="20" t="s">
        <v>125</v>
      </c>
      <c r="CL38" s="20" t="s">
        <v>126</v>
      </c>
      <c r="CM38" s="20" t="s">
        <v>127</v>
      </c>
      <c r="CN38" s="20" t="s">
        <v>123</v>
      </c>
      <c r="CO38" s="20" t="s">
        <v>128</v>
      </c>
      <c r="CP38" s="20" t="s">
        <v>129</v>
      </c>
      <c r="CR38" s="21" t="e">
        <f>#REF!</f>
        <v>#REF!</v>
      </c>
    </row>
    <row r="39" spans="1:96" ht="12.95" customHeight="1" thickBot="1" x14ac:dyDescent="0.25">
      <c r="A39" s="522"/>
      <c r="B39" s="522"/>
      <c r="C39" s="46"/>
      <c r="D39" s="24"/>
      <c r="E39" s="24"/>
      <c r="F39" s="24"/>
      <c r="G39" s="345"/>
      <c r="H39" s="345"/>
      <c r="I39" s="283"/>
      <c r="J39" s="547"/>
      <c r="K39" s="547"/>
      <c r="L39" s="152"/>
      <c r="M39" s="283"/>
      <c r="N39" s="153"/>
      <c r="O39" s="345"/>
      <c r="P39" s="283"/>
      <c r="Q39" s="24"/>
      <c r="R39" s="522"/>
      <c r="S39" s="522"/>
      <c r="T39" s="46"/>
      <c r="U39" s="24"/>
      <c r="V39" s="24"/>
      <c r="W39" s="24"/>
      <c r="X39" s="345"/>
      <c r="Y39" s="345"/>
      <c r="Z39" s="283"/>
      <c r="AA39" s="547"/>
      <c r="AB39" s="547"/>
      <c r="AC39" s="152"/>
      <c r="AD39" s="283"/>
      <c r="AE39" s="153"/>
      <c r="AF39" s="345"/>
      <c r="AG39" s="283"/>
      <c r="AH39" s="63" t="s">
        <v>201</v>
      </c>
      <c r="AI39" s="63" t="s">
        <v>200</v>
      </c>
      <c r="AJ39" s="75">
        <f>Z29</f>
        <v>0</v>
      </c>
      <c r="AK39" s="76">
        <f>AB29</f>
        <v>0</v>
      </c>
      <c r="AL39" s="77" t="s">
        <v>189</v>
      </c>
      <c r="AM39" s="48" t="s">
        <v>190</v>
      </c>
      <c r="AN39" s="44" t="s">
        <v>126</v>
      </c>
      <c r="AO39" s="45" t="str">
        <f t="shared" si="7"/>
        <v>Draw</v>
      </c>
      <c r="AP39" s="45" t="str">
        <f t="shared" si="8"/>
        <v>Draw</v>
      </c>
      <c r="AQ39" s="45"/>
      <c r="AS39" s="16" t="str">
        <f>KWALIFICATIE!E12</f>
        <v>Carte blanche</v>
      </c>
      <c r="AT39" s="16">
        <f>COUNT(Germany_Played)</f>
        <v>3</v>
      </c>
      <c r="AU39" s="16">
        <f>COUNTIF(Groupstage_Winners,"Germany")</f>
        <v>0</v>
      </c>
      <c r="AV39" s="16">
        <f>COUNTIF(Groupstage_Losers,"Germany")</f>
        <v>0</v>
      </c>
      <c r="AW39" s="16">
        <f>AT39-(AU39+AV39)</f>
        <v>3</v>
      </c>
      <c r="AX39" s="16">
        <f>SUM(Germany_Played)</f>
        <v>0</v>
      </c>
      <c r="AY39" s="16">
        <f>SUM(Germany_Against)</f>
        <v>0</v>
      </c>
      <c r="AZ39" s="16">
        <f>AX39-AY39</f>
        <v>0</v>
      </c>
      <c r="BA39" s="16">
        <v>0</v>
      </c>
      <c r="BB39" s="16" t="str">
        <f>IF($BA39&gt;=$BA40,$AS39,$AS40)</f>
        <v>Carte blanche</v>
      </c>
      <c r="BC39" s="16">
        <f>VLOOKUP($BB39,$AS39:$BA42,9,FALSE)</f>
        <v>0</v>
      </c>
      <c r="BD39" s="16" t="str">
        <f>IF($BC39&gt;=$BC41,$BB39,$BB41)</f>
        <v>Carte blanche</v>
      </c>
      <c r="BE39" s="16">
        <f>VLOOKUP($BD39,$AS39:$BA42,9,FALSE)</f>
        <v>0</v>
      </c>
      <c r="BF39" s="16" t="str">
        <f>IF($BE39&gt;=$BE42,$BD39,$BD42)</f>
        <v>Carte blanche</v>
      </c>
      <c r="BG39" s="16">
        <f>VLOOKUP($BF39,$AS39:$BA42,9,FALSE)</f>
        <v>0</v>
      </c>
      <c r="BH39" s="16">
        <f>VLOOKUP($BF39,$AS39:$BA42,8,FALSE)</f>
        <v>0</v>
      </c>
      <c r="BI39" s="16" t="str">
        <f>IF(AND($BG39=$BG40,$BH40&gt;$BH39),$BF40,$BF39)</f>
        <v>Carte blanche</v>
      </c>
      <c r="BJ39" s="16">
        <f>VLOOKUP($BI39,$AS39:$BA42,9,FALSE)</f>
        <v>0</v>
      </c>
      <c r="BK39" s="16">
        <f>VLOOKUP($BI39,$AS39:$BA42,8,FALSE)</f>
        <v>0</v>
      </c>
      <c r="BL39" s="16" t="str">
        <f>IF(AND($BJ39=$BJ41,$BK41&gt;$BK39),$BI41,$BI39)</f>
        <v>Carte blanche</v>
      </c>
      <c r="BM39" s="16">
        <f>VLOOKUP($BL39,$AS39:$BA42,9,FALSE)</f>
        <v>0</v>
      </c>
      <c r="BN39" s="16">
        <f>VLOOKUP($BL39,$AS39:$BA42,8,FALSE)</f>
        <v>0</v>
      </c>
      <c r="BO39" s="16" t="str">
        <f>IF(AND($BM39=$BM42,$BN42&gt;$BN39),$BL42,$BL39)</f>
        <v>Carte blanche</v>
      </c>
      <c r="BP39" s="16">
        <f>VLOOKUP($BO39,$AS39:$BA42,9,FALSE)</f>
        <v>0</v>
      </c>
      <c r="BQ39" s="16">
        <f>VLOOKUP($BO39,$AS39:$BA42,8,FALSE)</f>
        <v>0</v>
      </c>
      <c r="BR39" s="16">
        <f>VLOOKUP($BO39,$AS39:$BA42,6,FALSE)</f>
        <v>0</v>
      </c>
      <c r="BS39" s="16" t="str">
        <f>IF(AND($BP39=$BP40,$BQ39=$BQ40,$BR40&gt;$BR39),$BO40,$BO39)</f>
        <v>Carte blanche</v>
      </c>
      <c r="BT39" s="16">
        <f>VLOOKUP($BS39,$AS39:$BA42,9,FALSE)</f>
        <v>0</v>
      </c>
      <c r="BU39" s="16">
        <f>VLOOKUP($BS39,$AS39:$BA42,8,FALSE)</f>
        <v>0</v>
      </c>
      <c r="BV39" s="16">
        <f>VLOOKUP($BS39,$AS39:$BA42,6,FALSE)</f>
        <v>0</v>
      </c>
      <c r="BW39" s="16" t="str">
        <f>IF(AND($BT39=$BT41,$BU39=$BU41,$BV41&gt;$BV39),$BS41,$BS39)</f>
        <v>Carte blanche</v>
      </c>
      <c r="BX39" s="16">
        <f>VLOOKUP($BW39,$AS39:$BA42,9,FALSE)</f>
        <v>0</v>
      </c>
      <c r="BY39" s="16">
        <f>VLOOKUP($BW39,$AS39:$BA42,8,FALSE)</f>
        <v>0</v>
      </c>
      <c r="BZ39" s="16">
        <f>VLOOKUP($BW39,$AS39:$BA42,6,FALSE)</f>
        <v>0</v>
      </c>
      <c r="CA39" s="16" t="str">
        <f>IF(AND($BX39=$BX42,$BY39=$BY42,$BZ42&gt;$BZ39),$BW42,$BW39)</f>
        <v>Carte blanche</v>
      </c>
      <c r="CB39" s="16">
        <f>VLOOKUP($CA39,$AS39:$BA42,9,FALSE)</f>
        <v>0</v>
      </c>
      <c r="CC39" s="16">
        <f>VLOOKUP($CA39,$AS39:$BA42,8,FALSE)</f>
        <v>0</v>
      </c>
      <c r="CD39" s="16">
        <f>VLOOKUP($CA39,$AS39:$BA42,6,FALSE)</f>
        <v>0</v>
      </c>
      <c r="CH39" s="16" t="str">
        <f>CA39</f>
        <v>Carte blanche</v>
      </c>
      <c r="CI39" s="16">
        <f>VLOOKUP($CH39,$AS39:$BA42,2,FALSE)</f>
        <v>3</v>
      </c>
      <c r="CJ39" s="16">
        <f>VLOOKUP($CH39,$AS39:$BA42,3,FALSE)</f>
        <v>0</v>
      </c>
      <c r="CK39" s="16">
        <f>VLOOKUP($CH39,$AS39:$BA42,4,FALSE)</f>
        <v>0</v>
      </c>
      <c r="CL39" s="16">
        <f>VLOOKUP($CH39,$AS39:$BA42,5,FALSE)</f>
        <v>3</v>
      </c>
      <c r="CM39" s="16">
        <f>VLOOKUP($CH39,$AS39:$BA42,6,FALSE)</f>
        <v>0</v>
      </c>
      <c r="CN39" s="16">
        <f>VLOOKUP($CH39,$AS39:$BA42,7,FALSE)</f>
        <v>0</v>
      </c>
      <c r="CO39" s="16">
        <f>VLOOKUP($CH39,$AS39:$BA42,8,FALSE)</f>
        <v>0</v>
      </c>
      <c r="CP39" s="16">
        <f>VLOOKUP($CH39,$AS39:$BA42,9,FALSE)</f>
        <v>0</v>
      </c>
      <c r="CR39" s="21" t="e">
        <f>#REF!</f>
        <v>#REF!</v>
      </c>
    </row>
    <row r="40" spans="1:96" ht="7.5" customHeight="1" thickBot="1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69" t="s">
        <v>141</v>
      </c>
      <c r="AI40" s="70" t="s">
        <v>140</v>
      </c>
      <c r="AJ40" s="71" t="e">
        <f>I15</f>
        <v>#REF!</v>
      </c>
      <c r="AK40" s="72" t="e">
        <f>K15</f>
        <v>#REF!</v>
      </c>
      <c r="AL40" s="73" t="s">
        <v>120</v>
      </c>
      <c r="AM40" s="50" t="s">
        <v>119</v>
      </c>
      <c r="AN40" s="44" t="s">
        <v>123</v>
      </c>
      <c r="AO40" s="45" t="e">
        <f t="shared" si="7"/>
        <v>#REF!</v>
      </c>
      <c r="AP40" s="45" t="e">
        <f t="shared" si="8"/>
        <v>#REF!</v>
      </c>
      <c r="AQ40" s="45"/>
      <c r="AS40" s="16" t="str">
        <f>KWALIFICATIE!E13</f>
        <v>MAN ON F.C</v>
      </c>
      <c r="AT40" s="16">
        <f>COUNT(Saudi_Arabia_Played)</f>
        <v>3</v>
      </c>
      <c r="AU40" s="16">
        <f>COUNTIF(Groupstage_Winners,"Saudi Arabia")</f>
        <v>0</v>
      </c>
      <c r="AV40" s="16">
        <f>COUNTIF(Groupstage_Losers,"Saudi Arabia")</f>
        <v>0</v>
      </c>
      <c r="AW40" s="16">
        <f>AT40-(AU40+AV40)</f>
        <v>3</v>
      </c>
      <c r="AX40" s="16">
        <f>SUM(Saudi_Arabia_Played)</f>
        <v>0</v>
      </c>
      <c r="AY40" s="16">
        <f>SUM(Saudi_Arabia_Against)</f>
        <v>0</v>
      </c>
      <c r="AZ40" s="16">
        <f>AX40-AY40</f>
        <v>0</v>
      </c>
      <c r="BA40" s="16">
        <v>0</v>
      </c>
      <c r="BB40" s="16" t="str">
        <f>IF($BA40&lt;=$BA39,$AS40,$AS39)</f>
        <v>MAN ON F.C</v>
      </c>
      <c r="BC40" s="16">
        <f>VLOOKUP($BB40,$AS39:$BA42,9,FALSE)</f>
        <v>0</v>
      </c>
      <c r="BD40" s="16" t="str">
        <f>IF(BC40&gt;=BC42,BB40,BB42)</f>
        <v>MAN ON F.C</v>
      </c>
      <c r="BE40" s="16">
        <f>VLOOKUP($BD40,$AS39:$BA42,9,FALSE)</f>
        <v>0</v>
      </c>
      <c r="BF40" s="16" t="str">
        <f>IF($BE40&gt;=$BE41,$BD40,$BD41)</f>
        <v>MAN ON F.C</v>
      </c>
      <c r="BG40" s="16">
        <f>VLOOKUP($BF40,$AS39:$BA42,9,FALSE)</f>
        <v>0</v>
      </c>
      <c r="BH40" s="16">
        <f>VLOOKUP($BF40,$AS39:$BA42,8,FALSE)</f>
        <v>0</v>
      </c>
      <c r="BI40" s="16" t="str">
        <f>IF(AND($BG39=$BG40,$BH40&gt;$BH39),$BF39,$BF40)</f>
        <v>MAN ON F.C</v>
      </c>
      <c r="BJ40" s="16">
        <f>VLOOKUP($BI40,$AS39:$BA42,9,FALSE)</f>
        <v>0</v>
      </c>
      <c r="BK40" s="16">
        <f>VLOOKUP($BI40,$AS39:$BA42,8,FALSE)</f>
        <v>0</v>
      </c>
      <c r="BL40" s="16" t="str">
        <f>IF(AND($BJ40=$BJ42,$BK42&gt;$BK40),$BI42,$BI40)</f>
        <v>MAN ON F.C</v>
      </c>
      <c r="BM40" s="16">
        <f>VLOOKUP($BL40,$AS39:$BA42,9,FALSE)</f>
        <v>0</v>
      </c>
      <c r="BN40" s="16">
        <f>VLOOKUP($BL40,$AS39:$BA42,8,FALSE)</f>
        <v>0</v>
      </c>
      <c r="BO40" s="16" t="str">
        <f>IF(AND($BM40=$BM41,$BN41&gt;$BN40),$BL41,$BL40)</f>
        <v>MAN ON F.C</v>
      </c>
      <c r="BP40" s="16">
        <f>VLOOKUP($BO40,$AS39:$BA42,9,FALSE)</f>
        <v>0</v>
      </c>
      <c r="BQ40" s="16">
        <f>VLOOKUP($BO40,$AS39:$BA42,8,FALSE)</f>
        <v>0</v>
      </c>
      <c r="BR40" s="16">
        <f>VLOOKUP($BO40,$AS39:$BA42,6,FALSE)</f>
        <v>0</v>
      </c>
      <c r="BS40" s="16" t="str">
        <f>IF(AND($BP39=$BP40,$BQ39=$BQ40,$BR40&gt;$BR39),$BO39,$BO40)</f>
        <v>MAN ON F.C</v>
      </c>
      <c r="BT40" s="16">
        <f>VLOOKUP($BS40,$AS39:$BA42,9,FALSE)</f>
        <v>0</v>
      </c>
      <c r="BU40" s="16">
        <f>VLOOKUP($BS40,$AS39:$BA42,8,FALSE)</f>
        <v>0</v>
      </c>
      <c r="BV40" s="16">
        <f>VLOOKUP($BS40,$AS39:$BA42,6,FALSE)</f>
        <v>0</v>
      </c>
      <c r="BW40" s="16" t="str">
        <f>IF(AND($BT40=$BT42,$BU40=$BU42,$BV42&gt;$BV40),$BS42,$BS40)</f>
        <v>MAN ON F.C</v>
      </c>
      <c r="BX40" s="16">
        <f>VLOOKUP($BW40,$AS39:$BA42,9,FALSE)</f>
        <v>0</v>
      </c>
      <c r="BY40" s="16">
        <f>VLOOKUP($BW40,$AS39:$BA42,8,FALSE)</f>
        <v>0</v>
      </c>
      <c r="BZ40" s="16">
        <f>VLOOKUP($BW40,$AS39:$BA42,6,FALSE)</f>
        <v>0</v>
      </c>
      <c r="CA40" s="16" t="str">
        <f>IF(AND($BX40=$BX41,$BY40=$BY41,$BZ41&gt;$BZ40),$BW41,$BW40)</f>
        <v>MAN ON F.C</v>
      </c>
      <c r="CB40" s="16">
        <f>VLOOKUP($CA40,$AS39:$BA42,9,FALSE)</f>
        <v>0</v>
      </c>
      <c r="CC40" s="16">
        <f>VLOOKUP($CA40,$AS39:$BA42,8,FALSE)</f>
        <v>0</v>
      </c>
      <c r="CD40" s="16">
        <f>VLOOKUP($CA40,$AS39:$BA42,6,FALSE)</f>
        <v>0</v>
      </c>
      <c r="CH40" s="16" t="str">
        <f>CA40</f>
        <v>MAN ON F.C</v>
      </c>
      <c r="CI40" s="16">
        <f>VLOOKUP($CH40,$AS39:$BA42,2,FALSE)</f>
        <v>3</v>
      </c>
      <c r="CJ40" s="16">
        <f>VLOOKUP($CH40,$AS39:$BA42,3,FALSE)</f>
        <v>0</v>
      </c>
      <c r="CK40" s="16">
        <f>VLOOKUP($CH40,$AS39:$BA42,4,FALSE)</f>
        <v>0</v>
      </c>
      <c r="CL40" s="16">
        <f>VLOOKUP($CH40,$AS39:$BA42,5,FALSE)</f>
        <v>3</v>
      </c>
      <c r="CM40" s="16">
        <f>VLOOKUP($CH40,$AS39:$BA42,6,FALSE)</f>
        <v>0</v>
      </c>
      <c r="CN40" s="16">
        <f>VLOOKUP($CH40,$AS39:$BA42,7,FALSE)</f>
        <v>0</v>
      </c>
      <c r="CO40" s="16">
        <f>VLOOKUP($CH40,$AS39:$BA42,8,FALSE)</f>
        <v>0</v>
      </c>
      <c r="CP40" s="16">
        <f>VLOOKUP($CH40,$AS39:$BA42,9,FALSE)</f>
        <v>0</v>
      </c>
      <c r="CR40" s="21" t="e">
        <f>#REF!</f>
        <v>#REF!</v>
      </c>
    </row>
    <row r="41" spans="1:96" ht="9.75" customHeight="1" thickBot="1" x14ac:dyDescent="0.25">
      <c r="A41" s="346"/>
      <c r="B41" s="346"/>
      <c r="C41" s="346"/>
      <c r="D41" s="154"/>
      <c r="E41" s="154"/>
      <c r="F41" s="154"/>
      <c r="G41" s="154"/>
      <c r="H41" s="154"/>
      <c r="I41" s="549"/>
      <c r="J41" s="549"/>
      <c r="K41" s="549"/>
      <c r="L41" s="548"/>
      <c r="M41" s="548"/>
      <c r="N41" s="548"/>
      <c r="O41" s="548"/>
      <c r="P41" s="548"/>
      <c r="Q41" s="24"/>
      <c r="R41" s="346"/>
      <c r="S41" s="346"/>
      <c r="T41" s="346"/>
      <c r="U41" s="154"/>
      <c r="V41" s="154"/>
      <c r="W41" s="154"/>
      <c r="X41" s="154"/>
      <c r="Y41" s="154"/>
      <c r="Z41" s="549"/>
      <c r="AA41" s="549"/>
      <c r="AB41" s="549"/>
      <c r="AC41" s="548"/>
      <c r="AD41" s="548"/>
      <c r="AE41" s="548"/>
      <c r="AF41" s="548"/>
      <c r="AG41" s="548"/>
      <c r="AH41" s="69" t="s">
        <v>122</v>
      </c>
      <c r="AI41" s="70" t="s">
        <v>121</v>
      </c>
      <c r="AJ41" s="71" t="e">
        <f>I16</f>
        <v>#REF!</v>
      </c>
      <c r="AK41" s="72" t="e">
        <f>K16</f>
        <v>#REF!</v>
      </c>
      <c r="AL41" s="73" t="s">
        <v>139</v>
      </c>
      <c r="AM41" s="50" t="s">
        <v>138</v>
      </c>
      <c r="AN41" s="44" t="s">
        <v>123</v>
      </c>
      <c r="AO41" s="45" t="e">
        <f t="shared" si="7"/>
        <v>#REF!</v>
      </c>
      <c r="AP41" s="45" t="e">
        <f t="shared" si="8"/>
        <v>#REF!</v>
      </c>
      <c r="AQ41" s="45"/>
      <c r="AS41" s="16" t="str">
        <f>KWALIFICATIE!E14</f>
        <v>Monnie Represent</v>
      </c>
      <c r="AT41" s="16">
        <f>COUNT(Ireland_Played)</f>
        <v>3</v>
      </c>
      <c r="AU41" s="16">
        <f>COUNTIF(Groupstage_Winners,"Ireland")</f>
        <v>0</v>
      </c>
      <c r="AV41" s="16">
        <f>COUNTIF(Groupstage_Losers,"Ireland")</f>
        <v>0</v>
      </c>
      <c r="AW41" s="16">
        <f>AT41-(AU41+AV41)</f>
        <v>3</v>
      </c>
      <c r="AX41" s="16">
        <f>SUM(Ireland_Played)</f>
        <v>0</v>
      </c>
      <c r="AY41" s="16">
        <f>SUM(Ireland_Against)</f>
        <v>0</v>
      </c>
      <c r="AZ41" s="16">
        <f>AX41-AY41</f>
        <v>0</v>
      </c>
      <c r="BA41" s="16">
        <v>0</v>
      </c>
      <c r="BB41" s="16" t="str">
        <f>IF($BA41&gt;=$BA42,$AS41,$AS42)</f>
        <v>Monnie Represent</v>
      </c>
      <c r="BC41" s="16">
        <f>VLOOKUP($BB41,$AS39:$BA42,9,FALSE)</f>
        <v>0</v>
      </c>
      <c r="BD41" s="16" t="str">
        <f>IF($BC41&lt;=$BC39,$BB41,$BB39)</f>
        <v>Monnie Represent</v>
      </c>
      <c r="BE41" s="16">
        <f>VLOOKUP($BD41,$AS39:$BA42,9,FALSE)</f>
        <v>0</v>
      </c>
      <c r="BF41" s="16" t="str">
        <f>IF($BE41&lt;=$BE40,$BD41,$BD40)</f>
        <v>Monnie Represent</v>
      </c>
      <c r="BG41" s="16">
        <f>VLOOKUP($BF41,$AS39:$BA42,9,FALSE)</f>
        <v>0</v>
      </c>
      <c r="BH41" s="16">
        <f>VLOOKUP($BF41,$AS39:$BA42,8,FALSE)</f>
        <v>0</v>
      </c>
      <c r="BI41" s="16" t="str">
        <f>IF(AND($BG41=$BG42,$BH42&gt;$BH41),$BF42,$BF41)</f>
        <v>Monnie Represent</v>
      </c>
      <c r="BJ41" s="16">
        <f>VLOOKUP($BI41,$AS39:$BA42,9,FALSE)</f>
        <v>0</v>
      </c>
      <c r="BK41" s="16">
        <f>VLOOKUP($BI41,$AS39:$BA42,8,FALSE)</f>
        <v>0</v>
      </c>
      <c r="BL41" s="16" t="str">
        <f>IF(AND($BJ39=$BJ41,$BK41&gt;$BK39),$BI39,$BI41)</f>
        <v>Monnie Represent</v>
      </c>
      <c r="BM41" s="16">
        <f>VLOOKUP($BL41,$AS39:$BA42,9,FALSE)</f>
        <v>0</v>
      </c>
      <c r="BN41" s="16">
        <f>VLOOKUP($BL41,$AS39:$BA42,8,FALSE)</f>
        <v>0</v>
      </c>
      <c r="BO41" s="16" t="str">
        <f>IF(AND($BM40=$BM41,$BN41&gt;$BN40),$BL40,$BL41)</f>
        <v>Monnie Represent</v>
      </c>
      <c r="BP41" s="16">
        <f>VLOOKUP($BO41,$AS39:$BA42,9,FALSE)</f>
        <v>0</v>
      </c>
      <c r="BQ41" s="16">
        <f>VLOOKUP($BO41,$AS39:$BA42,8,FALSE)</f>
        <v>0</v>
      </c>
      <c r="BR41" s="16">
        <f>VLOOKUP($BO41,$AS39:$BA42,6,FALSE)</f>
        <v>0</v>
      </c>
      <c r="BS41" s="16" t="str">
        <f>IF(AND($BP41=$BP42,$BQ41=$BQ42,$BR42&gt;$BR41),$BO42,$BO41)</f>
        <v>Monnie Represent</v>
      </c>
      <c r="BT41" s="16">
        <f>VLOOKUP($BS41,$AS39:$BA42,9,FALSE)</f>
        <v>0</v>
      </c>
      <c r="BU41" s="16">
        <f>VLOOKUP($BS41,$AS39:$BA42,8,FALSE)</f>
        <v>0</v>
      </c>
      <c r="BV41" s="16">
        <f>VLOOKUP($BS41,$AS39:$BA42,6,FALSE)</f>
        <v>0</v>
      </c>
      <c r="BW41" s="16" t="str">
        <f>IF(AND($BT39=$BT41,$BU39=$BU41,$BV40&gt;$BV39),$BS39,$BS41)</f>
        <v>Monnie Represent</v>
      </c>
      <c r="BX41" s="16">
        <f>VLOOKUP($BW41,$AS39:$BA42,9,FALSE)</f>
        <v>0</v>
      </c>
      <c r="BY41" s="16">
        <f>VLOOKUP($BW41,$AS39:$BA42,8,FALSE)</f>
        <v>0</v>
      </c>
      <c r="BZ41" s="16">
        <f>VLOOKUP($BW41,$AS39:$BA42,6,FALSE)</f>
        <v>0</v>
      </c>
      <c r="CA41" s="16" t="str">
        <f>IF(AND($BX40=$BX41,$BY40=$BY41,$BZ41&gt;$BZ40),$BW40,$BW41)</f>
        <v>Monnie Represent</v>
      </c>
      <c r="CB41" s="16">
        <f>VLOOKUP($CA41,$AS39:$BA42,9,FALSE)</f>
        <v>0</v>
      </c>
      <c r="CC41" s="16">
        <f>VLOOKUP($CA41,$AS39:$BA42,8,FALSE)</f>
        <v>0</v>
      </c>
      <c r="CD41" s="16">
        <f>VLOOKUP($CA41,$AS39:$BA42,6,FALSE)</f>
        <v>0</v>
      </c>
      <c r="CH41" s="16" t="str">
        <f>CA41</f>
        <v>Monnie Represent</v>
      </c>
      <c r="CI41" s="16">
        <f>VLOOKUP($CH41,$AS39:$BA42,2,FALSE)</f>
        <v>3</v>
      </c>
      <c r="CJ41" s="16">
        <f>VLOOKUP($CH41,$AS39:$BA42,3,FALSE)</f>
        <v>0</v>
      </c>
      <c r="CK41" s="16">
        <f>VLOOKUP($CH41,$AS39:$BA42,4,FALSE)</f>
        <v>0</v>
      </c>
      <c r="CL41" s="16">
        <f>VLOOKUP($CH41,$AS39:$BA42,5,FALSE)</f>
        <v>3</v>
      </c>
      <c r="CM41" s="16">
        <f>VLOOKUP($CH41,$AS39:$BA42,6,FALSE)</f>
        <v>0</v>
      </c>
      <c r="CN41" s="16">
        <f>VLOOKUP($CH41,$AS39:$BA42,7,FALSE)</f>
        <v>0</v>
      </c>
      <c r="CO41" s="16">
        <f>VLOOKUP($CH41,$AS39:$BA42,8,FALSE)</f>
        <v>0</v>
      </c>
      <c r="CP41" s="16">
        <f>VLOOKUP($CH41,$AS39:$BA42,9,FALSE)</f>
        <v>0</v>
      </c>
      <c r="CR41" s="21" t="e">
        <f>#REF!</f>
        <v>#REF!</v>
      </c>
    </row>
    <row r="42" spans="1:96" ht="12.95" customHeight="1" thickBot="1" x14ac:dyDescent="0.25">
      <c r="A42" s="540"/>
      <c r="B42" s="518"/>
      <c r="C42" s="283"/>
      <c r="D42" s="337"/>
      <c r="E42" s="283"/>
      <c r="F42" s="518"/>
      <c r="G42" s="518"/>
      <c r="H42" s="518"/>
      <c r="I42" s="27"/>
      <c r="J42" s="283"/>
      <c r="K42" s="129"/>
      <c r="L42" s="552"/>
      <c r="M42" s="552"/>
      <c r="N42" s="552"/>
      <c r="O42" s="552"/>
      <c r="P42" s="552"/>
      <c r="Q42" s="24"/>
      <c r="R42" s="540"/>
      <c r="S42" s="518"/>
      <c r="T42" s="283"/>
      <c r="U42" s="337"/>
      <c r="V42" s="283"/>
      <c r="W42" s="518"/>
      <c r="X42" s="518"/>
      <c r="Y42" s="518"/>
      <c r="Z42" s="27"/>
      <c r="AA42" s="283"/>
      <c r="AB42" s="129"/>
      <c r="AC42" s="518"/>
      <c r="AD42" s="518"/>
      <c r="AE42" s="518"/>
      <c r="AF42" s="518"/>
      <c r="AG42" s="518"/>
      <c r="AH42" s="69" t="s">
        <v>145</v>
      </c>
      <c r="AI42" s="70" t="s">
        <v>144</v>
      </c>
      <c r="AJ42" s="71">
        <f>I46</f>
        <v>0</v>
      </c>
      <c r="AK42" s="72">
        <f>K46</f>
        <v>0</v>
      </c>
      <c r="AL42" s="73" t="s">
        <v>134</v>
      </c>
      <c r="AM42" s="50" t="s">
        <v>133</v>
      </c>
      <c r="AN42" s="44" t="s">
        <v>137</v>
      </c>
      <c r="AO42" s="45" t="str">
        <f t="shared" si="7"/>
        <v>Draw</v>
      </c>
      <c r="AP42" s="45" t="str">
        <f t="shared" si="8"/>
        <v>Draw</v>
      </c>
      <c r="AQ42" s="45"/>
      <c r="AS42" s="16" t="str">
        <f>KWALIFICATIE!E16</f>
        <v>FC Carnabal</v>
      </c>
      <c r="AT42" s="16">
        <f>COUNT(Cameroon_Played)</f>
        <v>3</v>
      </c>
      <c r="AU42" s="16">
        <f>COUNTIF(Groupstage_Winners,"Cameroon")</f>
        <v>0</v>
      </c>
      <c r="AV42" s="16">
        <f>COUNTIF(Groupstage_Losers,"Cameroon")</f>
        <v>0</v>
      </c>
      <c r="AW42" s="16">
        <f>AT42-(AU42+AV42)</f>
        <v>3</v>
      </c>
      <c r="AX42" s="16">
        <f>SUM(Cameroon_Played)</f>
        <v>0</v>
      </c>
      <c r="AY42" s="16">
        <f>SUM(Cameroon_Against)</f>
        <v>0</v>
      </c>
      <c r="AZ42" s="16">
        <f>AX42-AY42</f>
        <v>0</v>
      </c>
      <c r="BA42" s="16">
        <v>0</v>
      </c>
      <c r="BB42" s="16" t="str">
        <f>IF($BA42&lt;=$BA41,$AS42,$AS41)</f>
        <v>FC Carnabal</v>
      </c>
      <c r="BC42" s="16">
        <f>VLOOKUP($BB42,$AS39:$BA42,9,FALSE)</f>
        <v>0</v>
      </c>
      <c r="BD42" s="16" t="str">
        <f>IF(BC42&lt;=BC40,BB42,BB40)</f>
        <v>FC Carnabal</v>
      </c>
      <c r="BE42" s="16">
        <f>VLOOKUP($BD42,$AS39:$BA42,9,FALSE)</f>
        <v>0</v>
      </c>
      <c r="BF42" s="16" t="str">
        <f>IF($BE42&lt;=$BE39,$BD42,$BD39)</f>
        <v>FC Carnabal</v>
      </c>
      <c r="BG42" s="16">
        <f>VLOOKUP($BF42,$AS39:$BA42,9,FALSE)</f>
        <v>0</v>
      </c>
      <c r="BH42" s="16">
        <f>VLOOKUP($BF42,$AS39:$BA42,8,FALSE)</f>
        <v>0</v>
      </c>
      <c r="BI42" s="16" t="str">
        <f>IF(AND($BG41=$BG42,$BH42&gt;$BH41),$BF41,$BF42)</f>
        <v>FC Carnabal</v>
      </c>
      <c r="BJ42" s="16">
        <f>VLOOKUP($BI42,$AS39:$BA42,9,FALSE)</f>
        <v>0</v>
      </c>
      <c r="BK42" s="16">
        <f>VLOOKUP($BI42,$AS39:$BA42,8,FALSE)</f>
        <v>0</v>
      </c>
      <c r="BL42" s="16" t="str">
        <f>IF(AND($BJ40=$BJ42,$BK42&gt;$BK40),$BI40,$BI42)</f>
        <v>FC Carnabal</v>
      </c>
      <c r="BM42" s="16">
        <f>VLOOKUP($BL42,$AS39:$BA42,9,FALSE)</f>
        <v>0</v>
      </c>
      <c r="BN42" s="16">
        <f>VLOOKUP($BL42,$AS39:$BA42,8,FALSE)</f>
        <v>0</v>
      </c>
      <c r="BO42" s="16" t="str">
        <f>IF(AND($BM39=$BM42,$BN42&gt;$BN39),$BL39,$BL42)</f>
        <v>FC Carnabal</v>
      </c>
      <c r="BP42" s="16">
        <f>VLOOKUP($BO42,$AS39:$BA42,9,FALSE)</f>
        <v>0</v>
      </c>
      <c r="BQ42" s="16">
        <f>VLOOKUP($BO42,$AS39:$BA42,8,FALSE)</f>
        <v>0</v>
      </c>
      <c r="BR42" s="16">
        <f>VLOOKUP($BO42,$AS39:$BA42,6,FALSE)</f>
        <v>0</v>
      </c>
      <c r="BS42" s="16" t="str">
        <f>IF(AND($BP41=$BP42,$BQ41=$BQ42,$BR42&gt;$BR41),$BO41,$BO42)</f>
        <v>FC Carnabal</v>
      </c>
      <c r="BT42" s="16">
        <f>VLOOKUP($BS42,$AS39:$BA42,9,FALSE)</f>
        <v>0</v>
      </c>
      <c r="BU42" s="16">
        <f>VLOOKUP($BS42,$AS39:$BA42,8,FALSE)</f>
        <v>0</v>
      </c>
      <c r="BV42" s="16">
        <f>VLOOKUP($BS42,$AS39:$BA42,6,FALSE)</f>
        <v>0</v>
      </c>
      <c r="BW42" s="16" t="str">
        <f>IF(AND($BT40=$BT42,$BU40=$BU42,$BV42&gt;$BV40),$BS40,$BS42)</f>
        <v>FC Carnabal</v>
      </c>
      <c r="BX42" s="16">
        <f>VLOOKUP($BW42,$AS39:$BA42,9,FALSE)</f>
        <v>0</v>
      </c>
      <c r="BY42" s="16">
        <f>VLOOKUP($BW42,$AS39:$BA42,8,FALSE)</f>
        <v>0</v>
      </c>
      <c r="BZ42" s="16">
        <f>VLOOKUP($BW42,$AS39:$BA42,6,FALSE)</f>
        <v>0</v>
      </c>
      <c r="CA42" s="16" t="str">
        <f>IF(AND($BX39=$BX42,$BY39=$BY42,$BZ42&gt;$BZ39),$BW39,$BW42)</f>
        <v>FC Carnabal</v>
      </c>
      <c r="CB42" s="16">
        <f>VLOOKUP($CA42,$AS39:$BA42,9,FALSE)</f>
        <v>0</v>
      </c>
      <c r="CC42" s="16">
        <f>VLOOKUP($CA42,$AS39:$BA42,8,FALSE)</f>
        <v>0</v>
      </c>
      <c r="CD42" s="16">
        <f>VLOOKUP($CA42,$AS39:$BA42,6,FALSE)</f>
        <v>0</v>
      </c>
      <c r="CH42" s="16" t="str">
        <f>CA42</f>
        <v>FC Carnabal</v>
      </c>
      <c r="CI42" s="16">
        <f>VLOOKUP($CH42,$AS39:$BA42,2,FALSE)</f>
        <v>3</v>
      </c>
      <c r="CJ42" s="16">
        <f>VLOOKUP($CH42,$AS39:$BA42,3,FALSE)</f>
        <v>0</v>
      </c>
      <c r="CK42" s="16">
        <f>VLOOKUP($CH42,$AS39:$BA42,4,FALSE)</f>
        <v>0</v>
      </c>
      <c r="CL42" s="16">
        <f>VLOOKUP($CH42,$AS39:$BA42,5,FALSE)</f>
        <v>3</v>
      </c>
      <c r="CM42" s="16">
        <f>VLOOKUP($CH42,$AS39:$BA42,6,FALSE)</f>
        <v>0</v>
      </c>
      <c r="CN42" s="16">
        <f>VLOOKUP($CH42,$AS39:$BA42,7,FALSE)</f>
        <v>0</v>
      </c>
      <c r="CO42" s="16">
        <f>VLOOKUP($CH42,$AS39:$BA42,8,FALSE)</f>
        <v>0</v>
      </c>
      <c r="CP42" s="16">
        <f>VLOOKUP($CH42,$AS39:$BA42,9,FALSE)</f>
        <v>0</v>
      </c>
      <c r="CR42" s="21" t="e">
        <f>#REF!</f>
        <v>#REF!</v>
      </c>
    </row>
    <row r="43" spans="1:96" ht="12.95" customHeight="1" thickBot="1" x14ac:dyDescent="0.25">
      <c r="A43" s="540"/>
      <c r="B43" s="518"/>
      <c r="C43" s="283"/>
      <c r="D43" s="24"/>
      <c r="E43" s="283"/>
      <c r="F43" s="518"/>
      <c r="G43" s="518"/>
      <c r="H43" s="518"/>
      <c r="I43" s="27"/>
      <c r="J43" s="283"/>
      <c r="K43" s="129"/>
      <c r="L43" s="552"/>
      <c r="M43" s="552"/>
      <c r="N43" s="552"/>
      <c r="O43" s="552"/>
      <c r="P43" s="552"/>
      <c r="Q43" s="24"/>
      <c r="R43" s="540"/>
      <c r="S43" s="518"/>
      <c r="T43" s="283"/>
      <c r="U43" s="24"/>
      <c r="V43" s="283"/>
      <c r="W43" s="518"/>
      <c r="X43" s="518"/>
      <c r="Y43" s="518"/>
      <c r="Z43" s="27"/>
      <c r="AA43" s="283"/>
      <c r="AB43" s="129"/>
      <c r="AC43" s="518"/>
      <c r="AD43" s="518"/>
      <c r="AE43" s="518"/>
      <c r="AF43" s="518"/>
      <c r="AG43" s="518"/>
      <c r="AH43" s="69" t="s">
        <v>136</v>
      </c>
      <c r="AI43" s="70" t="s">
        <v>135</v>
      </c>
      <c r="AJ43" s="71">
        <f>I47</f>
        <v>0</v>
      </c>
      <c r="AK43" s="72">
        <f>K47</f>
        <v>0</v>
      </c>
      <c r="AL43" s="73" t="s">
        <v>143</v>
      </c>
      <c r="AM43" s="50" t="s">
        <v>142</v>
      </c>
      <c r="AN43" s="44" t="s">
        <v>137</v>
      </c>
      <c r="AO43" s="45" t="str">
        <f t="shared" si="7"/>
        <v>Draw</v>
      </c>
      <c r="AP43" s="45" t="str">
        <f t="shared" si="8"/>
        <v>Draw</v>
      </c>
      <c r="AQ43" s="45"/>
      <c r="CR43" s="21" t="e">
        <f>#REF!</f>
        <v>#REF!</v>
      </c>
    </row>
    <row r="44" spans="1:96" ht="12.95" customHeight="1" thickBot="1" x14ac:dyDescent="0.25">
      <c r="A44" s="540"/>
      <c r="B44" s="518"/>
      <c r="C44" s="283"/>
      <c r="D44" s="24"/>
      <c r="E44" s="283"/>
      <c r="F44" s="518"/>
      <c r="G44" s="518"/>
      <c r="H44" s="518"/>
      <c r="I44" s="27"/>
      <c r="J44" s="283"/>
      <c r="K44" s="129"/>
      <c r="L44" s="552"/>
      <c r="M44" s="552"/>
      <c r="N44" s="552"/>
      <c r="O44" s="552"/>
      <c r="P44" s="552"/>
      <c r="Q44" s="24"/>
      <c r="R44" s="540"/>
      <c r="S44" s="518"/>
      <c r="T44" s="283"/>
      <c r="U44" s="24"/>
      <c r="V44" s="283"/>
      <c r="W44" s="518"/>
      <c r="X44" s="518"/>
      <c r="Y44" s="518"/>
      <c r="Z44" s="27"/>
      <c r="AA44" s="283"/>
      <c r="AB44" s="129"/>
      <c r="AC44" s="518"/>
      <c r="AD44" s="518"/>
      <c r="AE44" s="518"/>
      <c r="AF44" s="518"/>
      <c r="AG44" s="518"/>
      <c r="AH44" s="69" t="s">
        <v>158</v>
      </c>
      <c r="AI44" s="70" t="s">
        <v>157</v>
      </c>
      <c r="AJ44" s="71">
        <f>Z46</f>
        <v>0</v>
      </c>
      <c r="AK44" s="72">
        <f>AB46</f>
        <v>0</v>
      </c>
      <c r="AL44" s="73" t="s">
        <v>147</v>
      </c>
      <c r="AM44" s="50" t="s">
        <v>146</v>
      </c>
      <c r="AN44" s="44" t="s">
        <v>127</v>
      </c>
      <c r="AO44" s="45" t="str">
        <f t="shared" si="7"/>
        <v>Draw</v>
      </c>
      <c r="AP44" s="45" t="str">
        <f t="shared" si="8"/>
        <v>Draw</v>
      </c>
      <c r="AQ44" s="45"/>
      <c r="AS44" s="16" t="s">
        <v>207</v>
      </c>
      <c r="CR44" s="21" t="e">
        <f>#REF!</f>
        <v>#REF!</v>
      </c>
    </row>
    <row r="45" spans="1:96" ht="12.95" customHeight="1" thickBot="1" x14ac:dyDescent="0.25">
      <c r="A45" s="540"/>
      <c r="B45" s="518"/>
      <c r="C45" s="283"/>
      <c r="D45" s="24"/>
      <c r="E45" s="283"/>
      <c r="F45" s="518"/>
      <c r="G45" s="518"/>
      <c r="H45" s="518"/>
      <c r="I45" s="27"/>
      <c r="J45" s="283"/>
      <c r="K45" s="129"/>
      <c r="L45" s="552"/>
      <c r="M45" s="552"/>
      <c r="N45" s="552"/>
      <c r="O45" s="552"/>
      <c r="P45" s="552"/>
      <c r="Q45" s="24"/>
      <c r="R45" s="540"/>
      <c r="S45" s="518"/>
      <c r="T45" s="283"/>
      <c r="U45" s="24"/>
      <c r="V45" s="283"/>
      <c r="W45" s="518"/>
      <c r="X45" s="518"/>
      <c r="Y45" s="518"/>
      <c r="Z45" s="27"/>
      <c r="AA45" s="283"/>
      <c r="AB45" s="129"/>
      <c r="AC45" s="518"/>
      <c r="AD45" s="518"/>
      <c r="AE45" s="518"/>
      <c r="AF45" s="518"/>
      <c r="AG45" s="518"/>
      <c r="AH45" s="69" t="s">
        <v>149</v>
      </c>
      <c r="AI45" s="70" t="s">
        <v>148</v>
      </c>
      <c r="AJ45" s="71">
        <f>Z47</f>
        <v>0</v>
      </c>
      <c r="AK45" s="72">
        <f>AB47</f>
        <v>0</v>
      </c>
      <c r="AL45" s="73" t="s">
        <v>156</v>
      </c>
      <c r="AM45" s="50" t="s">
        <v>155</v>
      </c>
      <c r="AN45" s="44" t="s">
        <v>127</v>
      </c>
      <c r="AO45" s="45" t="str">
        <f t="shared" si="7"/>
        <v>Draw</v>
      </c>
      <c r="AP45" s="45" t="str">
        <f t="shared" si="8"/>
        <v>Draw</v>
      </c>
      <c r="AQ45" s="45"/>
      <c r="AT45" s="16" t="s">
        <v>124</v>
      </c>
      <c r="AU45" s="16" t="s">
        <v>110</v>
      </c>
      <c r="AV45" s="16" t="s">
        <v>125</v>
      </c>
      <c r="AW45" s="16" t="s">
        <v>126</v>
      </c>
      <c r="AX45" s="16" t="s">
        <v>127</v>
      </c>
      <c r="AY45" s="16" t="s">
        <v>123</v>
      </c>
      <c r="AZ45" s="16" t="s">
        <v>128</v>
      </c>
      <c r="BA45" s="16" t="s">
        <v>129</v>
      </c>
      <c r="CR45" s="21" t="e">
        <f>#REF!</f>
        <v>#REF!</v>
      </c>
    </row>
    <row r="46" spans="1:96" ht="12.95" customHeight="1" thickBot="1" x14ac:dyDescent="0.25">
      <c r="A46" s="540"/>
      <c r="B46" s="518"/>
      <c r="C46" s="283"/>
      <c r="D46" s="24"/>
      <c r="E46" s="283"/>
      <c r="F46" s="518"/>
      <c r="G46" s="518"/>
      <c r="H46" s="518"/>
      <c r="I46" s="27"/>
      <c r="J46" s="283"/>
      <c r="K46" s="129"/>
      <c r="L46" s="552"/>
      <c r="M46" s="552"/>
      <c r="N46" s="552"/>
      <c r="O46" s="552"/>
      <c r="P46" s="552"/>
      <c r="Q46" s="24"/>
      <c r="R46" s="540"/>
      <c r="S46" s="518"/>
      <c r="T46" s="283"/>
      <c r="U46" s="24"/>
      <c r="V46" s="283"/>
      <c r="W46" s="518"/>
      <c r="X46" s="518"/>
      <c r="Y46" s="518"/>
      <c r="Z46" s="27"/>
      <c r="AA46" s="283"/>
      <c r="AB46" s="129"/>
      <c r="AC46" s="518"/>
      <c r="AD46" s="518"/>
      <c r="AE46" s="518"/>
      <c r="AF46" s="518"/>
      <c r="AG46" s="518"/>
      <c r="AH46" s="69" t="s">
        <v>163</v>
      </c>
      <c r="AI46" s="70" t="s">
        <v>162</v>
      </c>
      <c r="AJ46" s="71">
        <f>Z15</f>
        <v>0</v>
      </c>
      <c r="AK46" s="72">
        <f>AB15</f>
        <v>0</v>
      </c>
      <c r="AL46" s="73" t="s">
        <v>151</v>
      </c>
      <c r="AM46" s="50" t="s">
        <v>150</v>
      </c>
      <c r="AN46" s="44" t="s">
        <v>154</v>
      </c>
      <c r="AO46" s="45" t="str">
        <f t="shared" si="7"/>
        <v>Draw</v>
      </c>
      <c r="AP46" s="45" t="str">
        <f t="shared" si="8"/>
        <v>Draw</v>
      </c>
      <c r="AQ46" s="45"/>
      <c r="AS46" s="16" t="str">
        <f>KWALIFICATIE!L12</f>
        <v>Scherp Online</v>
      </c>
      <c r="AT46" s="16">
        <f>COUNT(Argentina_Played)</f>
        <v>3</v>
      </c>
      <c r="AU46" s="16">
        <f>COUNTIF(Groupstage_Winners,"Argentina")</f>
        <v>0</v>
      </c>
      <c r="AV46" s="16">
        <f>COUNTIF(Groupstage_Losers,"Argentina")</f>
        <v>0</v>
      </c>
      <c r="AW46" s="16">
        <f>AT46-(AU46+AV46)</f>
        <v>3</v>
      </c>
      <c r="AX46" s="16">
        <f>SUM(Argentina_Played)</f>
        <v>0</v>
      </c>
      <c r="AY46" s="16">
        <f>SUM(Argentina_Against)</f>
        <v>0</v>
      </c>
      <c r="AZ46" s="16">
        <f>AX46-AY46</f>
        <v>0</v>
      </c>
      <c r="BA46" s="16">
        <v>0</v>
      </c>
      <c r="BB46" s="16" t="str">
        <f>IF($BA46&gt;=$BA47,$AS46,$AS47)</f>
        <v>Scherp Online</v>
      </c>
      <c r="BC46" s="16">
        <f>VLOOKUP($BB46,$AS46:$BA49,9,FALSE)</f>
        <v>0</v>
      </c>
      <c r="BD46" s="16" t="str">
        <f>IF($BC46&gt;=$BC48,$BB46,$BB48)</f>
        <v>Scherp Online</v>
      </c>
      <c r="BE46" s="16">
        <f>VLOOKUP($BD46,$AS46:$BA49,9,FALSE)</f>
        <v>0</v>
      </c>
      <c r="BF46" s="16" t="str">
        <f>IF($BE46&gt;=$BE49,$BD46,$BD49)</f>
        <v>Scherp Online</v>
      </c>
      <c r="BG46" s="16">
        <f>VLOOKUP($BF46,$AS46:$BA49,9,FALSE)</f>
        <v>0</v>
      </c>
      <c r="BH46" s="16">
        <f>VLOOKUP($BF46,$AS46:$BA49,8,FALSE)</f>
        <v>0</v>
      </c>
      <c r="BI46" s="16" t="str">
        <f>IF(AND($BG46=$BG47,$BH47&gt;$BH46),$BF47,$BF46)</f>
        <v>Scherp Online</v>
      </c>
      <c r="BJ46" s="16">
        <f>VLOOKUP($BI46,$AS46:$BA49,9,FALSE)</f>
        <v>0</v>
      </c>
      <c r="BK46" s="16">
        <f>VLOOKUP($BI46,$AS46:$BA49,8,FALSE)</f>
        <v>0</v>
      </c>
      <c r="BL46" s="16" t="str">
        <f>IF(AND($BJ46=$BJ48,$BK48&gt;$BK46),$BI48,$BI46)</f>
        <v>Scherp Online</v>
      </c>
      <c r="BM46" s="16">
        <f>VLOOKUP($BL46,$AS46:$BA49,9,FALSE)</f>
        <v>0</v>
      </c>
      <c r="BN46" s="16">
        <f>VLOOKUP($BL46,$AS46:$BA49,8,FALSE)</f>
        <v>0</v>
      </c>
      <c r="BO46" s="16" t="str">
        <f>IF(AND($BM46=$BM49,$BN49&gt;$BN46),$BL49,$BL46)</f>
        <v>Scherp Online</v>
      </c>
      <c r="BP46" s="16">
        <f>VLOOKUP($BO46,$AS46:$BA49,9,FALSE)</f>
        <v>0</v>
      </c>
      <c r="BQ46" s="16">
        <f>VLOOKUP($BO46,$AS46:$BA49,8,FALSE)</f>
        <v>0</v>
      </c>
      <c r="BR46" s="16">
        <f>VLOOKUP($BO46,$AS46:$BA49,6,FALSE)</f>
        <v>0</v>
      </c>
      <c r="BS46" s="16" t="str">
        <f>IF(AND($BP46=$BP47,$BQ46=$BQ47,$BR47&gt;$BR46),$BO47,$BO46)</f>
        <v>Scherp Online</v>
      </c>
      <c r="BT46" s="16">
        <f>VLOOKUP($BS46,$AS46:$BA49,9,FALSE)</f>
        <v>0</v>
      </c>
      <c r="BU46" s="16">
        <f>VLOOKUP($BS46,$AS46:$BA49,8,FALSE)</f>
        <v>0</v>
      </c>
      <c r="BV46" s="16">
        <f>VLOOKUP($BS46,$AS46:$BA49,6,FALSE)</f>
        <v>0</v>
      </c>
      <c r="BW46" s="16" t="str">
        <f>IF(AND($BT46=$BT48,$BU46=$BU48,$BV48&gt;$BV46),$BS48,$BS46)</f>
        <v>Scherp Online</v>
      </c>
      <c r="BX46" s="16">
        <f>VLOOKUP($BW46,$AS46:$BA49,9,FALSE)</f>
        <v>0</v>
      </c>
      <c r="BY46" s="16">
        <f>VLOOKUP($BW46,$AS46:$BA49,8,FALSE)</f>
        <v>0</v>
      </c>
      <c r="BZ46" s="16">
        <f>VLOOKUP($BW46,$AS46:$BA49,6,FALSE)</f>
        <v>0</v>
      </c>
      <c r="CA46" s="16" t="str">
        <f>IF(AND($BX46=$BX49,$BY46=$BY49,$BZ49&gt;$BZ46),$BW49,$BW46)</f>
        <v>Scherp Online</v>
      </c>
      <c r="CB46" s="16">
        <f>VLOOKUP($CA46,$AS46:$BA49,9,FALSE)</f>
        <v>0</v>
      </c>
      <c r="CC46" s="16">
        <f>VLOOKUP($CA46,$AS46:$BA49,8,FALSE)</f>
        <v>0</v>
      </c>
      <c r="CD46" s="16">
        <f>VLOOKUP($CA46,$AS46:$BA49,6,FALSE)</f>
        <v>0</v>
      </c>
      <c r="CH46" s="16" t="str">
        <f>CA46</f>
        <v>Scherp Online</v>
      </c>
      <c r="CI46" s="16">
        <f>VLOOKUP($CH46,$AS46:$BA49,2,FALSE)</f>
        <v>3</v>
      </c>
      <c r="CJ46" s="16">
        <f>VLOOKUP($CH46,$AS46:$BA49,3,FALSE)</f>
        <v>0</v>
      </c>
      <c r="CK46" s="16">
        <f>VLOOKUP($CH46,$AS46:$BA49,4,FALSE)</f>
        <v>0</v>
      </c>
      <c r="CL46" s="16">
        <f>VLOOKUP($CH46,$AS46:$BA49,5,FALSE)</f>
        <v>3</v>
      </c>
      <c r="CM46" s="16">
        <f>VLOOKUP($CH46,$AS46:$BA49,6,FALSE)</f>
        <v>0</v>
      </c>
      <c r="CN46" s="16">
        <f>VLOOKUP($CH46,$AS46:$BA49,7,FALSE)</f>
        <v>0</v>
      </c>
      <c r="CO46" s="16">
        <f>VLOOKUP($CH46,$AS46:$BA49,8,FALSE)</f>
        <v>0</v>
      </c>
      <c r="CP46" s="16">
        <f>VLOOKUP($CH46,$AS46:$BA49,9,FALSE)</f>
        <v>0</v>
      </c>
      <c r="CR46" s="21" t="e">
        <f>#REF!</f>
        <v>#REF!</v>
      </c>
    </row>
    <row r="47" spans="1:96" ht="12.95" customHeight="1" thickBot="1" x14ac:dyDescent="0.25">
      <c r="A47" s="540"/>
      <c r="B47" s="518"/>
      <c r="C47" s="283"/>
      <c r="D47" s="24"/>
      <c r="E47" s="283"/>
      <c r="F47" s="518"/>
      <c r="G47" s="518"/>
      <c r="H47" s="518"/>
      <c r="I47" s="27"/>
      <c r="J47" s="283"/>
      <c r="K47" s="129"/>
      <c r="L47" s="552"/>
      <c r="M47" s="552"/>
      <c r="N47" s="552"/>
      <c r="O47" s="552"/>
      <c r="P47" s="552"/>
      <c r="Q47" s="24"/>
      <c r="R47" s="540"/>
      <c r="S47" s="518"/>
      <c r="T47" s="283"/>
      <c r="U47" s="24"/>
      <c r="V47" s="283"/>
      <c r="W47" s="518"/>
      <c r="X47" s="518"/>
      <c r="Y47" s="518"/>
      <c r="Z47" s="27"/>
      <c r="AA47" s="283"/>
      <c r="AB47" s="129"/>
      <c r="AC47" s="518"/>
      <c r="AD47" s="518"/>
      <c r="AE47" s="518"/>
      <c r="AF47" s="518"/>
      <c r="AG47" s="518"/>
      <c r="AH47" s="69" t="s">
        <v>153</v>
      </c>
      <c r="AI47" s="70" t="s">
        <v>152</v>
      </c>
      <c r="AJ47" s="71">
        <f>Z16</f>
        <v>4</v>
      </c>
      <c r="AK47" s="72">
        <f>AB16</f>
        <v>0</v>
      </c>
      <c r="AL47" s="73" t="s">
        <v>161</v>
      </c>
      <c r="AM47" s="50" t="s">
        <v>160</v>
      </c>
      <c r="AN47" s="44" t="s">
        <v>154</v>
      </c>
      <c r="AO47" s="45" t="str">
        <f t="shared" si="7"/>
        <v>South Africa</v>
      </c>
      <c r="AP47" s="45" t="str">
        <f t="shared" si="8"/>
        <v>Spain</v>
      </c>
      <c r="AQ47" s="45"/>
      <c r="AS47" s="16" t="str">
        <f>KWALIFICATIE!L13</f>
        <v>Sammi's Sweathearts</v>
      </c>
      <c r="AT47" s="16">
        <f>COUNT(Nigeria_Played)</f>
        <v>3</v>
      </c>
      <c r="AU47" s="16">
        <f>COUNTIF(Groupstage_Winners,"Nigeria")</f>
        <v>0</v>
      </c>
      <c r="AV47" s="16">
        <f>COUNTIF(Groupstage_Losers,"Nigeria")</f>
        <v>0</v>
      </c>
      <c r="AW47" s="16">
        <f>AT47-(AU47+AV47)</f>
        <v>3</v>
      </c>
      <c r="AX47" s="16">
        <f>SUM(Nigeria_Played)</f>
        <v>0</v>
      </c>
      <c r="AY47" s="16">
        <f>SUM(Nigeria_Against)</f>
        <v>0</v>
      </c>
      <c r="AZ47" s="16">
        <f>AX47-AY47</f>
        <v>0</v>
      </c>
      <c r="BA47" s="16">
        <v>0</v>
      </c>
      <c r="BB47" s="16" t="str">
        <f>IF($BA47&lt;=$BA46,$AS47,$AS46)</f>
        <v>Sammi's Sweathearts</v>
      </c>
      <c r="BC47" s="16">
        <f>VLOOKUP($BB47,$AS46:$BA49,9,FALSE)</f>
        <v>0</v>
      </c>
      <c r="BD47" s="16" t="str">
        <f>IF(BC47&gt;=BC49,BB47,BB49)</f>
        <v>Sammi's Sweathearts</v>
      </c>
      <c r="BE47" s="16">
        <f>VLOOKUP($BD47,$AS46:$BA49,9,FALSE)</f>
        <v>0</v>
      </c>
      <c r="BF47" s="16" t="str">
        <f>IF($BE47&gt;=$BE48,$BD47,$BD48)</f>
        <v>Sammi's Sweathearts</v>
      </c>
      <c r="BG47" s="16">
        <f>VLOOKUP($BF47,$AS46:$BA49,9,FALSE)</f>
        <v>0</v>
      </c>
      <c r="BH47" s="16">
        <f>VLOOKUP($BF47,$AS46:$BA49,8,FALSE)</f>
        <v>0</v>
      </c>
      <c r="BI47" s="16" t="str">
        <f>IF(AND($BG46=$BG47,$BH47&gt;$BH46),$BF46,$BF47)</f>
        <v>Sammi's Sweathearts</v>
      </c>
      <c r="BJ47" s="16">
        <f>VLOOKUP($BI47,$AS46:$BA49,9,FALSE)</f>
        <v>0</v>
      </c>
      <c r="BK47" s="16">
        <f>VLOOKUP($BI47,$AS46:$BA49,8,FALSE)</f>
        <v>0</v>
      </c>
      <c r="BL47" s="16" t="str">
        <f>IF(AND($BJ47=$BJ49,$BK49&gt;$BK47),$BI49,$BI47)</f>
        <v>Sammi's Sweathearts</v>
      </c>
      <c r="BM47" s="16">
        <f>VLOOKUP($BL47,$AS46:$BA49,9,FALSE)</f>
        <v>0</v>
      </c>
      <c r="BN47" s="16">
        <f>VLOOKUP($BL47,$AS46:$BA49,8,FALSE)</f>
        <v>0</v>
      </c>
      <c r="BO47" s="16" t="str">
        <f>IF(AND($BM47=$BM48,$BN48&gt;$BN47),$BL48,$BL47)</f>
        <v>Sammi's Sweathearts</v>
      </c>
      <c r="BP47" s="16">
        <f>VLOOKUP($BO47,$AS46:$BA49,9,FALSE)</f>
        <v>0</v>
      </c>
      <c r="BQ47" s="16">
        <f>VLOOKUP($BO47,$AS46:$BA49,8,FALSE)</f>
        <v>0</v>
      </c>
      <c r="BR47" s="16">
        <f>VLOOKUP($BO47,$AS46:$BA49,6,FALSE)</f>
        <v>0</v>
      </c>
      <c r="BS47" s="16" t="str">
        <f>IF(AND($BP46=$BP47,$BQ46=$BQ47,$BR47&gt;$BR46),$BO46,$BO47)</f>
        <v>Sammi's Sweathearts</v>
      </c>
      <c r="BT47" s="16">
        <f>VLOOKUP($BS47,$AS46:$BA49,9,FALSE)</f>
        <v>0</v>
      </c>
      <c r="BU47" s="16">
        <f>VLOOKUP($BS47,$AS46:$BA49,8,FALSE)</f>
        <v>0</v>
      </c>
      <c r="BV47" s="16">
        <f>VLOOKUP($BS47,$AS46:$BA49,6,FALSE)</f>
        <v>0</v>
      </c>
      <c r="BW47" s="16" t="str">
        <f>IF(AND($BT47=$BT49,$BU47=$BU49,$BV49&gt;$BV47),$BS49,$BS47)</f>
        <v>Sammi's Sweathearts</v>
      </c>
      <c r="BX47" s="16">
        <f>VLOOKUP($BW47,$AS46:$BA49,9,FALSE)</f>
        <v>0</v>
      </c>
      <c r="BY47" s="16">
        <f>VLOOKUP($BW47,$AS46:$BA49,8,FALSE)</f>
        <v>0</v>
      </c>
      <c r="BZ47" s="16">
        <f>VLOOKUP($BW47,$AS46:$BA49,6,FALSE)</f>
        <v>0</v>
      </c>
      <c r="CA47" s="16" t="str">
        <f>IF(AND($BX47=$BX48,$BY47=$BY48,$BZ48&gt;$BZ47),$BW48,$BW47)</f>
        <v>Sammi's Sweathearts</v>
      </c>
      <c r="CB47" s="16">
        <f>VLOOKUP($CA47,$AS46:$BA49,9,FALSE)</f>
        <v>0</v>
      </c>
      <c r="CC47" s="16">
        <f>VLOOKUP($CA47,$AS46:$BA49,8,FALSE)</f>
        <v>0</v>
      </c>
      <c r="CD47" s="16">
        <f>VLOOKUP($CA47,$AS46:$BA49,6,FALSE)</f>
        <v>0</v>
      </c>
      <c r="CH47" s="16" t="str">
        <f>CA47</f>
        <v>Sammi's Sweathearts</v>
      </c>
      <c r="CI47" s="16">
        <f>VLOOKUP($CH47,$AS46:$BA49,2,FALSE)</f>
        <v>3</v>
      </c>
      <c r="CJ47" s="16">
        <f>VLOOKUP($CH47,$AS46:$BA49,3,FALSE)</f>
        <v>0</v>
      </c>
      <c r="CK47" s="16">
        <f>VLOOKUP($CH47,$AS46:$BA49,4,FALSE)</f>
        <v>0</v>
      </c>
      <c r="CL47" s="16">
        <f>VLOOKUP($CH47,$AS46:$BA49,5,FALSE)</f>
        <v>3</v>
      </c>
      <c r="CM47" s="16">
        <f>VLOOKUP($CH47,$AS46:$BA49,6,FALSE)</f>
        <v>0</v>
      </c>
      <c r="CN47" s="16">
        <f>VLOOKUP($CH47,$AS46:$BA49,7,FALSE)</f>
        <v>0</v>
      </c>
      <c r="CO47" s="16">
        <f>VLOOKUP($CH47,$AS46:$BA49,8,FALSE)</f>
        <v>0</v>
      </c>
      <c r="CP47" s="16">
        <f>VLOOKUP($CH47,$AS46:$BA49,9,FALSE)</f>
        <v>0</v>
      </c>
      <c r="CR47" s="21" t="e">
        <f>#REF!</f>
        <v>#REF!</v>
      </c>
    </row>
    <row r="48" spans="1:96" ht="13.5" thickBot="1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74" t="s">
        <v>171</v>
      </c>
      <c r="AI48" s="70" t="s">
        <v>170</v>
      </c>
      <c r="AJ48" s="71">
        <f>I30</f>
        <v>0</v>
      </c>
      <c r="AK48" s="72">
        <f>K30</f>
        <v>0</v>
      </c>
      <c r="AL48" s="73" t="s">
        <v>178</v>
      </c>
      <c r="AM48" s="52" t="s">
        <v>177</v>
      </c>
      <c r="AN48" s="44" t="s">
        <v>172</v>
      </c>
      <c r="AO48" s="45" t="str">
        <f t="shared" si="7"/>
        <v>Draw</v>
      </c>
      <c r="AP48" s="45" t="str">
        <f t="shared" si="8"/>
        <v>Draw</v>
      </c>
      <c r="AQ48" s="45"/>
      <c r="AS48" s="16" t="str">
        <f>KWALIFICATIE!L14</f>
        <v>#illuminaticonfirmed</v>
      </c>
      <c r="AT48" s="16">
        <f>COUNT(England_Played)</f>
        <v>3</v>
      </c>
      <c r="AU48" s="16">
        <f>COUNTIF(Groupstage_Winners,"England")</f>
        <v>0</v>
      </c>
      <c r="AV48" s="16">
        <f>COUNTIF(Groupstage_Losers,"England")</f>
        <v>0</v>
      </c>
      <c r="AW48" s="16">
        <f>AT48-(AU48+AV48)</f>
        <v>3</v>
      </c>
      <c r="AX48" s="16">
        <f>SUM(England_Played)</f>
        <v>0</v>
      </c>
      <c r="AY48" s="16">
        <f>SUM(England_Against)</f>
        <v>0</v>
      </c>
      <c r="AZ48" s="16">
        <f>AX48-AY48</f>
        <v>0</v>
      </c>
      <c r="BA48" s="16">
        <v>0</v>
      </c>
      <c r="BB48" s="16" t="str">
        <f>IF($BA48&gt;=$BA49,$AS48,$AS49)</f>
        <v>#illuminaticonfirmed</v>
      </c>
      <c r="BC48" s="16">
        <f>VLOOKUP($BB48,$AS46:$BA49,9,FALSE)</f>
        <v>0</v>
      </c>
      <c r="BD48" s="16" t="str">
        <f>IF($BC48&lt;=$BC46,$BB48,$BB46)</f>
        <v>#illuminaticonfirmed</v>
      </c>
      <c r="BE48" s="16">
        <f>VLOOKUP($BD48,$AS46:$BA49,9,FALSE)</f>
        <v>0</v>
      </c>
      <c r="BF48" s="16" t="str">
        <f>IF($BE48&lt;=$BE47,$BD48,$BD47)</f>
        <v>#illuminaticonfirmed</v>
      </c>
      <c r="BG48" s="16">
        <f>VLOOKUP($BF48,$AS46:$BA49,9,FALSE)</f>
        <v>0</v>
      </c>
      <c r="BH48" s="16">
        <f>VLOOKUP($BF48,$AS46:$BA49,8,FALSE)</f>
        <v>0</v>
      </c>
      <c r="BI48" s="16" t="str">
        <f>IF(AND($BG48=$BG49,$BH49&gt;$BH48),$BF49,$BF48)</f>
        <v>#illuminaticonfirmed</v>
      </c>
      <c r="BJ48" s="16">
        <f>VLOOKUP($BI48,$AS46:$BA49,9,FALSE)</f>
        <v>0</v>
      </c>
      <c r="BK48" s="16">
        <f>VLOOKUP($BI48,$AS46:$BA49,8,FALSE)</f>
        <v>0</v>
      </c>
      <c r="BL48" s="16" t="str">
        <f>IF(AND($BJ46=$BJ48,$BK48&gt;$BK46),$BI46,$BI48)</f>
        <v>#illuminaticonfirmed</v>
      </c>
      <c r="BM48" s="16">
        <f>VLOOKUP($BL48,$AS46:$BA49,9,FALSE)</f>
        <v>0</v>
      </c>
      <c r="BN48" s="16">
        <f>VLOOKUP($BL48,$AS46:$BA49,8,FALSE)</f>
        <v>0</v>
      </c>
      <c r="BO48" s="16" t="str">
        <f>IF(AND($BM47=$BM48,$BN48&gt;$BN47),$BL47,$BL48)</f>
        <v>#illuminaticonfirmed</v>
      </c>
      <c r="BP48" s="16">
        <f>VLOOKUP($BO48,$AS46:$BA49,9,FALSE)</f>
        <v>0</v>
      </c>
      <c r="BQ48" s="16">
        <f>VLOOKUP($BO48,$AS46:$BA49,8,FALSE)</f>
        <v>0</v>
      </c>
      <c r="BR48" s="16">
        <f>VLOOKUP($BO48,$AS46:$BA49,6,FALSE)</f>
        <v>0</v>
      </c>
      <c r="BS48" s="16" t="str">
        <f>IF(AND($BP48=$BP49,$BQ48=$BQ49,$BR49&gt;$BR48),$BO49,$BO48)</f>
        <v>#illuminaticonfirmed</v>
      </c>
      <c r="BT48" s="16">
        <f>VLOOKUP($BS48,$AS46:$BA49,9,FALSE)</f>
        <v>0</v>
      </c>
      <c r="BU48" s="16">
        <f>VLOOKUP($BS48,$AS46:$BA49,8,FALSE)</f>
        <v>0</v>
      </c>
      <c r="BV48" s="16">
        <f>VLOOKUP($BS48,$AS46:$BA49,6,FALSE)</f>
        <v>0</v>
      </c>
      <c r="BW48" s="16" t="str">
        <f>IF(AND($BT46=$BT48,$BU46=$BU48,$BV47&gt;$BV46),$BS46,$BS48)</f>
        <v>#illuminaticonfirmed</v>
      </c>
      <c r="BX48" s="16">
        <f>VLOOKUP($BW48,$AS46:$BA49,9,FALSE)</f>
        <v>0</v>
      </c>
      <c r="BY48" s="16">
        <f>VLOOKUP($BW48,$AS46:$BA49,8,FALSE)</f>
        <v>0</v>
      </c>
      <c r="BZ48" s="16">
        <f>VLOOKUP($BW48,$AS46:$BA49,6,FALSE)</f>
        <v>0</v>
      </c>
      <c r="CA48" s="16" t="str">
        <f>IF(AND($BX47=$BX48,$BY47=$BY48,$BZ48&gt;$BZ47),$BW47,$BW48)</f>
        <v>#illuminaticonfirmed</v>
      </c>
      <c r="CB48" s="16">
        <f>VLOOKUP($CA48,$AS46:$BA49,9,FALSE)</f>
        <v>0</v>
      </c>
      <c r="CC48" s="16">
        <f>VLOOKUP($CA48,$AS46:$BA49,8,FALSE)</f>
        <v>0</v>
      </c>
      <c r="CD48" s="16">
        <f>VLOOKUP($CA48,$AS46:$BA49,6,FALSE)</f>
        <v>0</v>
      </c>
      <c r="CH48" s="16" t="str">
        <f>CA48</f>
        <v>#illuminaticonfirmed</v>
      </c>
      <c r="CI48" s="16">
        <f>VLOOKUP($CH48,$AS46:$BA49,2,FALSE)</f>
        <v>3</v>
      </c>
      <c r="CJ48" s="16">
        <f>VLOOKUP($CH48,$AS46:$BA49,3,FALSE)</f>
        <v>0</v>
      </c>
      <c r="CK48" s="16">
        <f>VLOOKUP($CH48,$AS46:$BA49,4,FALSE)</f>
        <v>0</v>
      </c>
      <c r="CL48" s="16">
        <f>VLOOKUP($CH48,$AS46:$BA49,5,FALSE)</f>
        <v>3</v>
      </c>
      <c r="CM48" s="16">
        <f>VLOOKUP($CH48,$AS46:$BA49,6,FALSE)</f>
        <v>0</v>
      </c>
      <c r="CN48" s="16">
        <f>VLOOKUP($CH48,$AS46:$BA49,7,FALSE)</f>
        <v>0</v>
      </c>
      <c r="CO48" s="16">
        <f>VLOOKUP($CH48,$AS46:$BA49,8,FALSE)</f>
        <v>0</v>
      </c>
      <c r="CP48" s="16">
        <f>VLOOKUP($CH48,$AS46:$BA49,9,FALSE)</f>
        <v>0</v>
      </c>
      <c r="CR48" s="21" t="e">
        <f>#REF!</f>
        <v>#REF!</v>
      </c>
    </row>
    <row r="49" spans="1:96" ht="18.75" thickBot="1" x14ac:dyDescent="0.3">
      <c r="A49" s="546"/>
      <c r="B49" s="546"/>
      <c r="C49" s="546"/>
      <c r="D49" s="546"/>
      <c r="E49" s="546"/>
      <c r="F49" s="546"/>
      <c r="G49" s="546"/>
      <c r="H49" s="546"/>
      <c r="I49" s="546"/>
      <c r="J49" s="546"/>
      <c r="K49" s="546"/>
      <c r="L49" s="546"/>
      <c r="M49" s="546"/>
      <c r="N49" s="546"/>
      <c r="O49" s="546"/>
      <c r="P49" s="546"/>
      <c r="Q49" s="24"/>
      <c r="R49" s="546"/>
      <c r="S49" s="546"/>
      <c r="T49" s="546"/>
      <c r="U49" s="546"/>
      <c r="V49" s="546"/>
      <c r="W49" s="546"/>
      <c r="X49" s="546"/>
      <c r="Y49" s="546"/>
      <c r="Z49" s="546"/>
      <c r="AA49" s="546"/>
      <c r="AB49" s="546"/>
      <c r="AC49" s="546"/>
      <c r="AD49" s="546"/>
      <c r="AE49" s="546"/>
      <c r="AF49" s="546"/>
      <c r="AG49" s="546"/>
      <c r="AH49" s="70" t="s">
        <v>180</v>
      </c>
      <c r="AI49" s="70" t="s">
        <v>179</v>
      </c>
      <c r="AJ49" s="71">
        <f>I31</f>
        <v>0</v>
      </c>
      <c r="AK49" s="72">
        <f>K31</f>
        <v>0</v>
      </c>
      <c r="AL49" s="73" t="s">
        <v>169</v>
      </c>
      <c r="AM49" s="51" t="s">
        <v>168</v>
      </c>
      <c r="AN49" s="44" t="s">
        <v>172</v>
      </c>
      <c r="AO49" s="45" t="str">
        <f t="shared" si="7"/>
        <v>Draw</v>
      </c>
      <c r="AP49" s="45" t="str">
        <f t="shared" si="8"/>
        <v>Draw</v>
      </c>
      <c r="AQ49" s="45"/>
      <c r="AS49" s="16" t="str">
        <f>KWALIFICATIE!L16</f>
        <v>Team Bublé</v>
      </c>
      <c r="AT49" s="16">
        <f>COUNT(Sweden_Played)</f>
        <v>3</v>
      </c>
      <c r="AU49" s="16">
        <f>COUNTIF(Groupstage_Winners,"Sweden")</f>
        <v>0</v>
      </c>
      <c r="AV49" s="16">
        <f>COUNTIF(Groupstage_Losers,"Sweden")</f>
        <v>0</v>
      </c>
      <c r="AW49" s="16">
        <f>AT49-(AU49+AV49)</f>
        <v>3</v>
      </c>
      <c r="AX49" s="16">
        <f>SUM(Sweden_Played)</f>
        <v>0</v>
      </c>
      <c r="AY49" s="16">
        <f>SUM(Sweden_Against)</f>
        <v>0</v>
      </c>
      <c r="AZ49" s="16">
        <f>AX49-AY49</f>
        <v>0</v>
      </c>
      <c r="BA49" s="16">
        <v>0</v>
      </c>
      <c r="BB49" s="16" t="str">
        <f>IF($BA49&lt;=$BA48,$AS49,$AS48)</f>
        <v>Team Bublé</v>
      </c>
      <c r="BC49" s="16">
        <f>VLOOKUP($BB49,$AS46:$BA49,9,FALSE)</f>
        <v>0</v>
      </c>
      <c r="BD49" s="16" t="str">
        <f>IF(BC49&lt;=BC47,BB49,BB47)</f>
        <v>Team Bublé</v>
      </c>
      <c r="BE49" s="16">
        <f>VLOOKUP($BD49,$AS46:$BA49,9,FALSE)</f>
        <v>0</v>
      </c>
      <c r="BF49" s="16" t="str">
        <f>IF($BE49&lt;=$BE46,$BD49,$BD46)</f>
        <v>Team Bublé</v>
      </c>
      <c r="BG49" s="16">
        <f>VLOOKUP($BF49,$AS46:$BA49,9,FALSE)</f>
        <v>0</v>
      </c>
      <c r="BH49" s="16">
        <f>VLOOKUP($BF49,$AS46:$BA49,8,FALSE)</f>
        <v>0</v>
      </c>
      <c r="BI49" s="16" t="str">
        <f>IF(AND($BG48=$BG49,$BH49&gt;$BH48),$BF48,$BF49)</f>
        <v>Team Bublé</v>
      </c>
      <c r="BJ49" s="16">
        <f>VLOOKUP($BI49,$AS46:$BA49,9,FALSE)</f>
        <v>0</v>
      </c>
      <c r="BK49" s="16">
        <f>VLOOKUP($BI49,$AS46:$BA49,8,FALSE)</f>
        <v>0</v>
      </c>
      <c r="BL49" s="16" t="str">
        <f>IF(AND($BJ47=$BJ49,$BK49&gt;$BK47),$BI47,$BI49)</f>
        <v>Team Bublé</v>
      </c>
      <c r="BM49" s="16">
        <f>VLOOKUP($BL49,$AS46:$BA49,9,FALSE)</f>
        <v>0</v>
      </c>
      <c r="BN49" s="16">
        <f>VLOOKUP($BL49,$AS46:$BA49,8,FALSE)</f>
        <v>0</v>
      </c>
      <c r="BO49" s="16" t="str">
        <f>IF(AND($BM46=$BM49,$BN49&gt;$BN46),$BL46,$BL49)</f>
        <v>Team Bublé</v>
      </c>
      <c r="BP49" s="16">
        <f>VLOOKUP($BO49,$AS46:$BA49,9,FALSE)</f>
        <v>0</v>
      </c>
      <c r="BQ49" s="16">
        <f>VLOOKUP($BO49,$AS46:$BA49,8,FALSE)</f>
        <v>0</v>
      </c>
      <c r="BR49" s="16">
        <f>VLOOKUP($BO49,$AS46:$BA49,6,FALSE)</f>
        <v>0</v>
      </c>
      <c r="BS49" s="16" t="str">
        <f>IF(AND($BP48=$BP49,$BQ48=$BQ49,$BR49&gt;$BR48),$BO48,$BO49)</f>
        <v>Team Bublé</v>
      </c>
      <c r="BT49" s="16">
        <f>VLOOKUP($BS49,$AS46:$BA49,9,FALSE)</f>
        <v>0</v>
      </c>
      <c r="BU49" s="16">
        <f>VLOOKUP($BS49,$AS46:$BA49,8,FALSE)</f>
        <v>0</v>
      </c>
      <c r="BV49" s="16">
        <f>VLOOKUP($BS49,$AS46:$BA49,6,FALSE)</f>
        <v>0</v>
      </c>
      <c r="BW49" s="16" t="str">
        <f>IF(AND($BT47=$BT49,$BU47=$BU49,$BV49&gt;$BV47),$BS47,$BS49)</f>
        <v>Team Bublé</v>
      </c>
      <c r="BX49" s="16">
        <f>VLOOKUP($BW49,$AS46:$BA49,9,FALSE)</f>
        <v>0</v>
      </c>
      <c r="BY49" s="16">
        <f>VLOOKUP($BW49,$AS46:$BA49,8,FALSE)</f>
        <v>0</v>
      </c>
      <c r="BZ49" s="16">
        <f>VLOOKUP($BW49,$AS46:$BA49,6,FALSE)</f>
        <v>0</v>
      </c>
      <c r="CA49" s="16" t="str">
        <f>IF(AND($BX46=$BX49,$BY46=$BY49,$BZ49&gt;$BZ46),$BW46,$BW49)</f>
        <v>Team Bublé</v>
      </c>
      <c r="CB49" s="16">
        <f>VLOOKUP($CA49,$AS46:$BA49,9,FALSE)</f>
        <v>0</v>
      </c>
      <c r="CC49" s="16">
        <f>VLOOKUP($CA49,$AS46:$BA49,8,FALSE)</f>
        <v>0</v>
      </c>
      <c r="CD49" s="16">
        <f>VLOOKUP($CA49,$AS46:$BA49,6,FALSE)</f>
        <v>0</v>
      </c>
      <c r="CH49" s="16" t="str">
        <f>CA49</f>
        <v>Team Bublé</v>
      </c>
      <c r="CI49" s="16">
        <f>VLOOKUP($CH49,$AS46:$BA49,2,FALSE)</f>
        <v>3</v>
      </c>
      <c r="CJ49" s="16">
        <f>VLOOKUP($CH49,$AS46:$BA49,3,FALSE)</f>
        <v>0</v>
      </c>
      <c r="CK49" s="16">
        <f>VLOOKUP($CH49,$AS46:$BA49,4,FALSE)</f>
        <v>0</v>
      </c>
      <c r="CL49" s="16">
        <f>VLOOKUP($CH49,$AS46:$BA49,5,FALSE)</f>
        <v>3</v>
      </c>
      <c r="CM49" s="16">
        <f>VLOOKUP($CH49,$AS46:$BA49,6,FALSE)</f>
        <v>0</v>
      </c>
      <c r="CN49" s="16">
        <f>VLOOKUP($CH49,$AS46:$BA49,7,FALSE)</f>
        <v>0</v>
      </c>
      <c r="CO49" s="16">
        <f>VLOOKUP($CH49,$AS46:$BA49,8,FALSE)</f>
        <v>0</v>
      </c>
      <c r="CP49" s="16">
        <f>VLOOKUP($CH49,$AS46:$BA49,9,FALSE)</f>
        <v>0</v>
      </c>
      <c r="CR49" s="21" t="e">
        <f>#REF!</f>
        <v>#REF!</v>
      </c>
    </row>
    <row r="50" spans="1:96" ht="12.95" customHeight="1" thickBot="1" x14ac:dyDescent="0.25">
      <c r="A50" s="24"/>
      <c r="B50" s="24"/>
      <c r="C50" s="24"/>
      <c r="D50" s="24"/>
      <c r="E50" s="24"/>
      <c r="F50" s="24"/>
      <c r="G50" s="338"/>
      <c r="H50" s="338"/>
      <c r="I50" s="338"/>
      <c r="J50" s="522"/>
      <c r="K50" s="522"/>
      <c r="L50" s="522"/>
      <c r="M50" s="522"/>
      <c r="N50" s="522"/>
      <c r="O50" s="338"/>
      <c r="P50" s="338"/>
      <c r="Q50" s="24"/>
      <c r="R50" s="24"/>
      <c r="S50" s="24"/>
      <c r="T50" s="24"/>
      <c r="U50" s="24"/>
      <c r="V50" s="24"/>
      <c r="W50" s="24"/>
      <c r="X50" s="338"/>
      <c r="Y50" s="338"/>
      <c r="Z50" s="338"/>
      <c r="AA50" s="522"/>
      <c r="AB50" s="522"/>
      <c r="AC50" s="522"/>
      <c r="AD50" s="522"/>
      <c r="AE50" s="522"/>
      <c r="AF50" s="338"/>
      <c r="AG50" s="338"/>
      <c r="AH50" s="69" t="s">
        <v>176</v>
      </c>
      <c r="AI50" s="70" t="s">
        <v>175</v>
      </c>
      <c r="AJ50" s="71">
        <f>I61</f>
        <v>0</v>
      </c>
      <c r="AK50" s="72">
        <f>K61</f>
        <v>0</v>
      </c>
      <c r="AL50" s="73" t="s">
        <v>165</v>
      </c>
      <c r="AM50" s="50" t="s">
        <v>164</v>
      </c>
      <c r="AN50" s="44" t="s">
        <v>111</v>
      </c>
      <c r="AO50" s="45" t="str">
        <f t="shared" si="7"/>
        <v>Draw</v>
      </c>
      <c r="AP50" s="45" t="str">
        <f t="shared" si="8"/>
        <v>Draw</v>
      </c>
      <c r="AQ50" s="45"/>
      <c r="CR50" s="21" t="e">
        <f>#REF!</f>
        <v>#REF!</v>
      </c>
    </row>
    <row r="51" spans="1:96" ht="12.95" customHeight="1" thickBot="1" x14ac:dyDescent="0.25">
      <c r="A51" s="522"/>
      <c r="B51" s="522"/>
      <c r="C51" s="46"/>
      <c r="D51" s="24"/>
      <c r="E51" s="24"/>
      <c r="F51" s="24"/>
      <c r="G51" s="345"/>
      <c r="H51" s="345"/>
      <c r="I51" s="283"/>
      <c r="J51" s="547"/>
      <c r="K51" s="547"/>
      <c r="L51" s="152"/>
      <c r="M51" s="283"/>
      <c r="N51" s="153"/>
      <c r="O51" s="345"/>
      <c r="P51" s="283"/>
      <c r="Q51" s="24"/>
      <c r="R51" s="522"/>
      <c r="S51" s="522"/>
      <c r="T51" s="46"/>
      <c r="U51" s="24"/>
      <c r="V51" s="24"/>
      <c r="W51" s="24"/>
      <c r="X51" s="345"/>
      <c r="Y51" s="345"/>
      <c r="Z51" s="283"/>
      <c r="AA51" s="547"/>
      <c r="AB51" s="547"/>
      <c r="AC51" s="152"/>
      <c r="AD51" s="283"/>
      <c r="AE51" s="153"/>
      <c r="AF51" s="345"/>
      <c r="AG51" s="283"/>
      <c r="AH51" s="70" t="s">
        <v>167</v>
      </c>
      <c r="AI51" s="70" t="s">
        <v>166</v>
      </c>
      <c r="AJ51" s="71">
        <f>I62</f>
        <v>0</v>
      </c>
      <c r="AK51" s="72">
        <f>K62</f>
        <v>0</v>
      </c>
      <c r="AL51" s="73" t="s">
        <v>174</v>
      </c>
      <c r="AM51" s="51" t="s">
        <v>173</v>
      </c>
      <c r="AN51" s="44" t="s">
        <v>111</v>
      </c>
      <c r="AO51" s="45" t="str">
        <f t="shared" si="7"/>
        <v>Draw</v>
      </c>
      <c r="AP51" s="45" t="str">
        <f t="shared" si="8"/>
        <v>Draw</v>
      </c>
      <c r="AQ51" s="45"/>
      <c r="AS51" s="16" t="s">
        <v>208</v>
      </c>
      <c r="CR51" s="21" t="e">
        <f>#REF!</f>
        <v>#REF!</v>
      </c>
    </row>
    <row r="52" spans="1:96" ht="12.95" customHeight="1" thickBot="1" x14ac:dyDescent="0.25">
      <c r="A52" s="522"/>
      <c r="B52" s="522"/>
      <c r="C52" s="46"/>
      <c r="D52" s="24"/>
      <c r="E52" s="24"/>
      <c r="F52" s="24"/>
      <c r="G52" s="345"/>
      <c r="H52" s="345"/>
      <c r="I52" s="283"/>
      <c r="J52" s="547"/>
      <c r="K52" s="547"/>
      <c r="L52" s="152"/>
      <c r="M52" s="283"/>
      <c r="N52" s="153"/>
      <c r="O52" s="345"/>
      <c r="P52" s="283"/>
      <c r="Q52" s="24"/>
      <c r="R52" s="522"/>
      <c r="S52" s="522"/>
      <c r="T52" s="46"/>
      <c r="U52" s="24"/>
      <c r="V52" s="24"/>
      <c r="W52" s="24"/>
      <c r="X52" s="345"/>
      <c r="Y52" s="345"/>
      <c r="Z52" s="283"/>
      <c r="AA52" s="547"/>
      <c r="AB52" s="547"/>
      <c r="AC52" s="152"/>
      <c r="AD52" s="283"/>
      <c r="AE52" s="153"/>
      <c r="AF52" s="345"/>
      <c r="AG52" s="283"/>
      <c r="AH52" s="70" t="s">
        <v>184</v>
      </c>
      <c r="AI52" s="70" t="s">
        <v>183</v>
      </c>
      <c r="AJ52" s="71">
        <f>Z61</f>
        <v>0</v>
      </c>
      <c r="AK52" s="72">
        <f>AB61</f>
        <v>0</v>
      </c>
      <c r="AL52" s="73" t="s">
        <v>194</v>
      </c>
      <c r="AM52" s="51" t="s">
        <v>193</v>
      </c>
      <c r="AN52" s="44" t="s">
        <v>185</v>
      </c>
      <c r="AO52" s="45" t="str">
        <f t="shared" si="7"/>
        <v>Draw</v>
      </c>
      <c r="AP52" s="45" t="str">
        <f t="shared" si="8"/>
        <v>Draw</v>
      </c>
      <c r="AQ52" s="45"/>
      <c r="AT52" s="16" t="s">
        <v>124</v>
      </c>
      <c r="AU52" s="16" t="s">
        <v>110</v>
      </c>
      <c r="AV52" s="16" t="s">
        <v>125</v>
      </c>
      <c r="AW52" s="16" t="s">
        <v>126</v>
      </c>
      <c r="AX52" s="16" t="s">
        <v>127</v>
      </c>
      <c r="AY52" s="16" t="s">
        <v>123</v>
      </c>
      <c r="AZ52" s="16" t="s">
        <v>128</v>
      </c>
      <c r="BA52" s="16" t="s">
        <v>129</v>
      </c>
      <c r="CR52" s="21" t="e">
        <f>#REF!</f>
        <v>#REF!</v>
      </c>
    </row>
    <row r="53" spans="1:96" ht="12.95" customHeight="1" thickBot="1" x14ac:dyDescent="0.25">
      <c r="A53" s="522"/>
      <c r="B53" s="522"/>
      <c r="C53" s="46"/>
      <c r="D53" s="24"/>
      <c r="E53" s="24"/>
      <c r="F53" s="24"/>
      <c r="G53" s="345"/>
      <c r="H53" s="345"/>
      <c r="I53" s="283"/>
      <c r="J53" s="547"/>
      <c r="K53" s="547"/>
      <c r="L53" s="152"/>
      <c r="M53" s="283"/>
      <c r="N53" s="153"/>
      <c r="O53" s="345"/>
      <c r="P53" s="283"/>
      <c r="Q53" s="24"/>
      <c r="R53" s="522"/>
      <c r="S53" s="522"/>
      <c r="T53" s="46"/>
      <c r="U53" s="24"/>
      <c r="V53" s="24"/>
      <c r="W53" s="24"/>
      <c r="X53" s="345"/>
      <c r="Y53" s="345"/>
      <c r="Z53" s="283"/>
      <c r="AA53" s="547"/>
      <c r="AB53" s="547"/>
      <c r="AC53" s="152"/>
      <c r="AD53" s="283"/>
      <c r="AE53" s="153"/>
      <c r="AF53" s="345"/>
      <c r="AG53" s="283"/>
      <c r="AH53" s="70" t="s">
        <v>196</v>
      </c>
      <c r="AI53" s="70" t="s">
        <v>195</v>
      </c>
      <c r="AJ53" s="71">
        <f>Z62</f>
        <v>0</v>
      </c>
      <c r="AK53" s="72">
        <f>AB62</f>
        <v>0</v>
      </c>
      <c r="AL53" s="73" t="s">
        <v>182</v>
      </c>
      <c r="AM53" s="51" t="s">
        <v>181</v>
      </c>
      <c r="AN53" s="44" t="s">
        <v>185</v>
      </c>
      <c r="AO53" s="45" t="str">
        <f t="shared" si="7"/>
        <v>Draw</v>
      </c>
      <c r="AP53" s="45" t="str">
        <f t="shared" si="8"/>
        <v>Draw</v>
      </c>
      <c r="AQ53" s="45"/>
      <c r="AS53" s="16" t="str">
        <f>KWALIFICATIE!S12</f>
        <v>Correctie veld 4</v>
      </c>
      <c r="AT53" s="16">
        <f>COUNT(Italy_Played)</f>
        <v>3</v>
      </c>
      <c r="AU53" s="16">
        <f>COUNTIF(Groupstage_Winners,"Italy")</f>
        <v>0</v>
      </c>
      <c r="AV53" s="16">
        <f>COUNTIF(Groupstage_Losers,"Italy")</f>
        <v>0</v>
      </c>
      <c r="AW53" s="16">
        <f>AT53-(AU53+AV53)</f>
        <v>3</v>
      </c>
      <c r="AX53" s="16">
        <f>SUM(Italy_Played)</f>
        <v>0</v>
      </c>
      <c r="AY53" s="16">
        <f>SUM(Italy_Against)</f>
        <v>0</v>
      </c>
      <c r="AZ53" s="16">
        <f>AX53-AY53</f>
        <v>0</v>
      </c>
      <c r="BA53" s="16">
        <v>0</v>
      </c>
      <c r="BB53" s="16" t="str">
        <f>IF($BA53&gt;=$BA54,$AS53,$AS54)</f>
        <v>Correctie veld 4</v>
      </c>
      <c r="BC53" s="16">
        <f>VLOOKUP($BB53,$AS53:$BA56,9,FALSE)</f>
        <v>0</v>
      </c>
      <c r="BD53" s="16" t="str">
        <f>IF($BC53&gt;=$BC55,$BB53,$BB55)</f>
        <v>Correctie veld 4</v>
      </c>
      <c r="BE53" s="16">
        <f>VLOOKUP($BD53,$AS53:$BA56,9,FALSE)</f>
        <v>0</v>
      </c>
      <c r="BF53" s="16" t="str">
        <f>IF($BE53&gt;=$BE56,$BD53,$BD56)</f>
        <v>Correctie veld 4</v>
      </c>
      <c r="BG53" s="16">
        <f>VLOOKUP($BF53,$AS53:$BA56,9,FALSE)</f>
        <v>0</v>
      </c>
      <c r="BH53" s="16">
        <f>VLOOKUP($BF53,$AS53:$BA56,8,FALSE)</f>
        <v>0</v>
      </c>
      <c r="BI53" s="16" t="str">
        <f>IF(AND($BG53=$BG54,$BH54&gt;$BH53),$BF54,$BF53)</f>
        <v>Correctie veld 4</v>
      </c>
      <c r="BJ53" s="16">
        <f>VLOOKUP($BI53,$AS53:$BA56,9,FALSE)</f>
        <v>0</v>
      </c>
      <c r="BK53" s="16">
        <f>VLOOKUP($BI53,$AS53:$BA56,8,FALSE)</f>
        <v>0</v>
      </c>
      <c r="BL53" s="16" t="str">
        <f>IF(AND($BJ53=$BJ55,$BK55&gt;$BK53),$BI55,$BI53)</f>
        <v>Correctie veld 4</v>
      </c>
      <c r="BM53" s="16">
        <f>VLOOKUP($BL53,$AS53:$BA56,9,FALSE)</f>
        <v>0</v>
      </c>
      <c r="BN53" s="16">
        <f>VLOOKUP($BL53,$AS53:$BA56,8,FALSE)</f>
        <v>0</v>
      </c>
      <c r="BO53" s="16" t="str">
        <f>IF(AND($BM53=$BM56,$BN56&gt;$BN53),$BL56,$BL53)</f>
        <v>Correctie veld 4</v>
      </c>
      <c r="BP53" s="16">
        <f>VLOOKUP($BO53,$AS53:$BA56,9,FALSE)</f>
        <v>0</v>
      </c>
      <c r="BQ53" s="16">
        <f>VLOOKUP($BO53,$AS53:$BA56,8,FALSE)</f>
        <v>0</v>
      </c>
      <c r="BR53" s="16">
        <f>VLOOKUP($BO53,$AS53:$BA56,6,FALSE)</f>
        <v>0</v>
      </c>
      <c r="BS53" s="16" t="str">
        <f>IF(AND($BP53=$BP54,$BQ53=$BQ54,$BR54&gt;$BR53),$BO54,$BO53)</f>
        <v>Correctie veld 4</v>
      </c>
      <c r="BT53" s="16">
        <f>VLOOKUP($BS53,$AS53:$BA56,9,FALSE)</f>
        <v>0</v>
      </c>
      <c r="BU53" s="16">
        <f>VLOOKUP($BS53,$AS53:$BA56,8,FALSE)</f>
        <v>0</v>
      </c>
      <c r="BV53" s="16">
        <f>VLOOKUP($BS53,$AS53:$BA56,6,FALSE)</f>
        <v>0</v>
      </c>
      <c r="BW53" s="16" t="str">
        <f>IF(AND($BT53=$BT55,$BU53=$BU55,$BV55&gt;$BV53),$BS55,$BS53)</f>
        <v>Correctie veld 4</v>
      </c>
      <c r="BX53" s="16">
        <f>VLOOKUP($BW53,$AS53:$BA56,9,FALSE)</f>
        <v>0</v>
      </c>
      <c r="BY53" s="16">
        <f>VLOOKUP($BW53,$AS53:$BA56,8,FALSE)</f>
        <v>0</v>
      </c>
      <c r="BZ53" s="16">
        <f>VLOOKUP($BW53,$AS53:$BA56,6,FALSE)</f>
        <v>0</v>
      </c>
      <c r="CA53" s="16" t="str">
        <f>IF(AND($BX53=$BX56,$BY53=$BY56,$BZ56&gt;$BZ53),$BW56,$BW53)</f>
        <v>Correctie veld 4</v>
      </c>
      <c r="CB53" s="16">
        <f>VLOOKUP($CA53,$AS53:$BA56,9,FALSE)</f>
        <v>0</v>
      </c>
      <c r="CC53" s="16">
        <f>VLOOKUP($CA53,$AS53:$BA56,8,FALSE)</f>
        <v>0</v>
      </c>
      <c r="CD53" s="16">
        <f>VLOOKUP($CA53,$AS53:$BA56,6,FALSE)</f>
        <v>0</v>
      </c>
      <c r="CH53" s="16" t="str">
        <f>CA53</f>
        <v>Correctie veld 4</v>
      </c>
      <c r="CI53" s="16">
        <f>VLOOKUP($CH53,$AS53:$BA56,2,FALSE)</f>
        <v>3</v>
      </c>
      <c r="CJ53" s="16">
        <f>VLOOKUP($CH53,$AS53:$BA56,3,FALSE)</f>
        <v>0</v>
      </c>
      <c r="CK53" s="16">
        <f>VLOOKUP($CH53,$AS53:$BA56,4,FALSE)</f>
        <v>0</v>
      </c>
      <c r="CL53" s="16">
        <f>VLOOKUP($CH53,$AS53:$BA56,5,FALSE)</f>
        <v>3</v>
      </c>
      <c r="CM53" s="16">
        <f>VLOOKUP($CH53,$AS53:$BA56,6,FALSE)</f>
        <v>0</v>
      </c>
      <c r="CN53" s="16">
        <f>VLOOKUP($CH53,$AS53:$BA56,7,FALSE)</f>
        <v>0</v>
      </c>
      <c r="CO53" s="16">
        <f>VLOOKUP($CH53,$AS53:$BA56,8,FALSE)</f>
        <v>0</v>
      </c>
      <c r="CP53" s="16">
        <f>VLOOKUP($CH53,$AS53:$BA56,9,FALSE)</f>
        <v>0</v>
      </c>
      <c r="CR53" s="21" t="e">
        <f>#REF!</f>
        <v>#REF!</v>
      </c>
    </row>
    <row r="54" spans="1:96" ht="12.95" customHeight="1" thickBot="1" x14ac:dyDescent="0.25">
      <c r="A54" s="522"/>
      <c r="B54" s="522"/>
      <c r="C54" s="46"/>
      <c r="D54" s="24"/>
      <c r="E54" s="24"/>
      <c r="F54" s="24"/>
      <c r="G54" s="345"/>
      <c r="H54" s="345"/>
      <c r="I54" s="283"/>
      <c r="J54" s="547"/>
      <c r="K54" s="547"/>
      <c r="L54" s="152"/>
      <c r="M54" s="283"/>
      <c r="N54" s="153"/>
      <c r="O54" s="345"/>
      <c r="P54" s="283"/>
      <c r="Q54" s="24"/>
      <c r="R54" s="522"/>
      <c r="S54" s="522"/>
      <c r="T54" s="46"/>
      <c r="U54" s="24"/>
      <c r="V54" s="24"/>
      <c r="W54" s="24"/>
      <c r="X54" s="345"/>
      <c r="Y54" s="345"/>
      <c r="Z54" s="283"/>
      <c r="AA54" s="547"/>
      <c r="AB54" s="547"/>
      <c r="AC54" s="152"/>
      <c r="AD54" s="283"/>
      <c r="AE54" s="153"/>
      <c r="AF54" s="345"/>
      <c r="AG54" s="283"/>
      <c r="AH54" s="70" t="s">
        <v>190</v>
      </c>
      <c r="AI54" s="70" t="s">
        <v>189</v>
      </c>
      <c r="AJ54" s="71">
        <f>Z30</f>
        <v>0</v>
      </c>
      <c r="AK54" s="72">
        <f>AB30</f>
        <v>0</v>
      </c>
      <c r="AL54" s="73" t="s">
        <v>199</v>
      </c>
      <c r="AM54" s="51" t="s">
        <v>198</v>
      </c>
      <c r="AN54" s="44" t="s">
        <v>126</v>
      </c>
      <c r="AO54" s="45" t="str">
        <f t="shared" si="7"/>
        <v>Draw</v>
      </c>
      <c r="AP54" s="45" t="str">
        <f t="shared" si="8"/>
        <v>Draw</v>
      </c>
      <c r="AQ54" s="45"/>
      <c r="AS54" s="16" t="str">
        <f>KWALIFICATIE!S13</f>
        <v>Combiwel</v>
      </c>
      <c r="AT54" s="16">
        <f>COUNT(Ecuador_Played)</f>
        <v>3</v>
      </c>
      <c r="AU54" s="16">
        <f>COUNTIF(Groupstage_Winners,"Ecuador")</f>
        <v>0</v>
      </c>
      <c r="AV54" s="16">
        <f>COUNTIF(Groupstage_Losers,"Ecuador")</f>
        <v>0</v>
      </c>
      <c r="AW54" s="16">
        <f>AT54-(AU54+AV54)</f>
        <v>3</v>
      </c>
      <c r="AX54" s="16">
        <f>SUM(Ecuador_Played)</f>
        <v>0</v>
      </c>
      <c r="AY54" s="16">
        <f>SUM(Ecuador_Against)</f>
        <v>0</v>
      </c>
      <c r="AZ54" s="16">
        <f>AX54-AY54</f>
        <v>0</v>
      </c>
      <c r="BA54" s="16">
        <v>0</v>
      </c>
      <c r="BB54" s="16" t="str">
        <f>IF($BA54&lt;=$BA53,$AS54,$AS53)</f>
        <v>Combiwel</v>
      </c>
      <c r="BC54" s="16">
        <f>VLOOKUP($BB54,$AS53:$BA56,9,FALSE)</f>
        <v>0</v>
      </c>
      <c r="BD54" s="16" t="str">
        <f>IF(BC54&gt;=BC56,BB54,BB56)</f>
        <v>Combiwel</v>
      </c>
      <c r="BE54" s="16">
        <f>VLOOKUP($BD54,$AS53:$BA56,9,FALSE)</f>
        <v>0</v>
      </c>
      <c r="BF54" s="16" t="str">
        <f>IF($BE54&gt;=$BE55,$BD54,$BD55)</f>
        <v>Combiwel</v>
      </c>
      <c r="BG54" s="16">
        <f>VLOOKUP($BF54,$AS53:$BA56,9,FALSE)</f>
        <v>0</v>
      </c>
      <c r="BH54" s="16">
        <f>VLOOKUP($BF54,$AS53:$BA56,8,FALSE)</f>
        <v>0</v>
      </c>
      <c r="BI54" s="16" t="str">
        <f>IF(AND($BG53=$BG54,$BH54&gt;$BH53),$BF53,$BF54)</f>
        <v>Combiwel</v>
      </c>
      <c r="BJ54" s="16">
        <f>VLOOKUP($BI54,$AS53:$BA56,9,FALSE)</f>
        <v>0</v>
      </c>
      <c r="BK54" s="16">
        <f>VLOOKUP($BI54,$AS53:$BA56,8,FALSE)</f>
        <v>0</v>
      </c>
      <c r="BL54" s="16" t="str">
        <f>IF(AND($BJ54=$BJ56,$BK56&gt;$BK54),$BI56,$BI54)</f>
        <v>Combiwel</v>
      </c>
      <c r="BM54" s="16">
        <f>VLOOKUP($BL54,$AS53:$BA56,9,FALSE)</f>
        <v>0</v>
      </c>
      <c r="BN54" s="16">
        <f>VLOOKUP($BL54,$AS53:$BA56,8,FALSE)</f>
        <v>0</v>
      </c>
      <c r="BO54" s="16" t="str">
        <f>IF(AND($BM54=$BM55,$BN55&gt;$BN54),$BL55,$BL54)</f>
        <v>Combiwel</v>
      </c>
      <c r="BP54" s="16">
        <f>VLOOKUP($BO54,$AS53:$BA56,9,FALSE)</f>
        <v>0</v>
      </c>
      <c r="BQ54" s="16">
        <f>VLOOKUP($BO54,$AS53:$BA56,8,FALSE)</f>
        <v>0</v>
      </c>
      <c r="BR54" s="16">
        <f>VLOOKUP($BO54,$AS53:$BA56,6,FALSE)</f>
        <v>0</v>
      </c>
      <c r="BS54" s="16" t="str">
        <f>IF(AND($BP53=$BP54,$BQ53=$BQ54,$BR54&gt;$BR53),$BO53,$BO54)</f>
        <v>Combiwel</v>
      </c>
      <c r="BT54" s="16">
        <f>VLOOKUP($BS54,$AS53:$BA56,9,FALSE)</f>
        <v>0</v>
      </c>
      <c r="BU54" s="16">
        <f>VLOOKUP($BS54,$AS53:$BA56,8,FALSE)</f>
        <v>0</v>
      </c>
      <c r="BV54" s="16">
        <f>VLOOKUP($BS54,$AS53:$BA56,6,FALSE)</f>
        <v>0</v>
      </c>
      <c r="BW54" s="16" t="str">
        <f>IF(AND($BT54=$BT56,$BU54=$BU56,$BV56&gt;$BV54),$BS56,$BS54)</f>
        <v>Combiwel</v>
      </c>
      <c r="BX54" s="16">
        <f>VLOOKUP($BW54,$AS53:$BA56,9,FALSE)</f>
        <v>0</v>
      </c>
      <c r="BY54" s="16">
        <f>VLOOKUP($BW54,$AS53:$BA56,8,FALSE)</f>
        <v>0</v>
      </c>
      <c r="BZ54" s="16">
        <f>VLOOKUP($BW54,$AS53:$BA56,6,FALSE)</f>
        <v>0</v>
      </c>
      <c r="CA54" s="16" t="str">
        <f>IF(AND($BX54=$BX55,$BY54=$BY55,$BZ55&gt;$BZ54),$BW55,$BW54)</f>
        <v>Combiwel</v>
      </c>
      <c r="CB54" s="16">
        <f>VLOOKUP($CA54,$AS53:$BA56,9,FALSE)</f>
        <v>0</v>
      </c>
      <c r="CC54" s="16">
        <f>VLOOKUP($CA54,$AS53:$BA56,8,FALSE)</f>
        <v>0</v>
      </c>
      <c r="CD54" s="16">
        <f>VLOOKUP($CA54,$AS53:$BA56,6,FALSE)</f>
        <v>0</v>
      </c>
      <c r="CH54" s="16" t="str">
        <f>CA54</f>
        <v>Combiwel</v>
      </c>
      <c r="CI54" s="16">
        <f>VLOOKUP($CH54,$AS53:$BA56,2,FALSE)</f>
        <v>3</v>
      </c>
      <c r="CJ54" s="16">
        <f>VLOOKUP($CH54,$AS53:$BA56,3,FALSE)</f>
        <v>0</v>
      </c>
      <c r="CK54" s="16">
        <f>VLOOKUP($CH54,$AS53:$BA56,4,FALSE)</f>
        <v>0</v>
      </c>
      <c r="CL54" s="16">
        <f>VLOOKUP($CH54,$AS53:$BA56,5,FALSE)</f>
        <v>3</v>
      </c>
      <c r="CM54" s="16">
        <f>VLOOKUP($CH54,$AS53:$BA56,6,FALSE)</f>
        <v>0</v>
      </c>
      <c r="CN54" s="16">
        <f>VLOOKUP($CH54,$AS53:$BA56,7,FALSE)</f>
        <v>0</v>
      </c>
      <c r="CO54" s="16">
        <f>VLOOKUP($CH54,$AS53:$BA56,8,FALSE)</f>
        <v>0</v>
      </c>
      <c r="CP54" s="16">
        <f>VLOOKUP($CH54,$AS53:$BA56,9,FALSE)</f>
        <v>0</v>
      </c>
      <c r="CR54" s="21" t="e">
        <f>#REF!</f>
        <v>#REF!</v>
      </c>
    </row>
    <row r="55" spans="1:96" ht="7.5" customHeight="1" thickBot="1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69" t="s">
        <v>201</v>
      </c>
      <c r="AI55" s="70" t="s">
        <v>200</v>
      </c>
      <c r="AJ55" s="71">
        <f>Z31</f>
        <v>0</v>
      </c>
      <c r="AK55" s="72">
        <f>AB31</f>
        <v>0</v>
      </c>
      <c r="AL55" s="73" t="s">
        <v>188</v>
      </c>
      <c r="AM55" s="50" t="s">
        <v>187</v>
      </c>
      <c r="AN55" s="44" t="s">
        <v>126</v>
      </c>
      <c r="AO55" s="45" t="str">
        <f t="shared" si="7"/>
        <v>Draw</v>
      </c>
      <c r="AP55" s="45" t="str">
        <f t="shared" si="8"/>
        <v>Draw</v>
      </c>
      <c r="AQ55" s="45"/>
      <c r="AS55" s="16" t="str">
        <f>KWALIFICATIE!S14</f>
        <v>Patti don't shout @ me</v>
      </c>
      <c r="AT55" s="16">
        <f>COUNT(Croatia_Played)</f>
        <v>3</v>
      </c>
      <c r="AU55" s="16">
        <f>COUNTIF(Groupstage_Winners,"Croatia")</f>
        <v>0</v>
      </c>
      <c r="AV55" s="16">
        <f>COUNTIF(Groupstage_Losers,"Croatia")</f>
        <v>0</v>
      </c>
      <c r="AW55" s="16">
        <f>AT55-(AU55+AV55)</f>
        <v>3</v>
      </c>
      <c r="AX55" s="16">
        <f>SUM(Croatia_Played)</f>
        <v>0</v>
      </c>
      <c r="AY55" s="16">
        <f>SUM(Croatia_Against)</f>
        <v>0</v>
      </c>
      <c r="AZ55" s="16">
        <f>AX55-AY55</f>
        <v>0</v>
      </c>
      <c r="BA55" s="16">
        <v>0</v>
      </c>
      <c r="BB55" s="16" t="str">
        <f>IF($BA55&gt;=$BA56,$AS55,$AS56)</f>
        <v>Patti don't shout @ me</v>
      </c>
      <c r="BC55" s="16">
        <f>VLOOKUP($BB55,$AS53:$BA56,9,FALSE)</f>
        <v>0</v>
      </c>
      <c r="BD55" s="16" t="str">
        <f>IF($BC55&lt;=$BC53,$BB55,$BB53)</f>
        <v>Patti don't shout @ me</v>
      </c>
      <c r="BE55" s="16">
        <f>VLOOKUP($BD55,$AS53:$BA56,9,FALSE)</f>
        <v>0</v>
      </c>
      <c r="BF55" s="16" t="str">
        <f>IF($BE55&lt;=$BE54,$BD55,$BD54)</f>
        <v>Patti don't shout @ me</v>
      </c>
      <c r="BG55" s="16">
        <f>VLOOKUP($BF55,$AS53:$BA56,9,FALSE)</f>
        <v>0</v>
      </c>
      <c r="BH55" s="16">
        <f>VLOOKUP($BF55,$AS53:$BA56,8,FALSE)</f>
        <v>0</v>
      </c>
      <c r="BI55" s="16" t="str">
        <f>IF(AND($BG55=$BG56,$BH56&gt;$BH55),$BF56,$BF55)</f>
        <v>Patti don't shout @ me</v>
      </c>
      <c r="BJ55" s="16">
        <f>VLOOKUP($BI55,$AS53:$BA56,9,FALSE)</f>
        <v>0</v>
      </c>
      <c r="BK55" s="16">
        <f>VLOOKUP($BI55,$AS53:$BA56,8,FALSE)</f>
        <v>0</v>
      </c>
      <c r="BL55" s="16" t="str">
        <f>IF(AND($BJ53=$BJ55,$BK55&gt;$BK53),$BI53,$BI55)</f>
        <v>Patti don't shout @ me</v>
      </c>
      <c r="BM55" s="16">
        <f>VLOOKUP($BL55,$AS53:$BA56,9,FALSE)</f>
        <v>0</v>
      </c>
      <c r="BN55" s="16">
        <f>VLOOKUP($BL55,$AS53:$BA56,8,FALSE)</f>
        <v>0</v>
      </c>
      <c r="BO55" s="16" t="str">
        <f>IF(AND($BM54=$BM55,$BN55&gt;$BN54),$BL54,$BL55)</f>
        <v>Patti don't shout @ me</v>
      </c>
      <c r="BP55" s="16">
        <f>VLOOKUP($BO55,$AS53:$BA56,9,FALSE)</f>
        <v>0</v>
      </c>
      <c r="BQ55" s="16">
        <f>VLOOKUP($BO55,$AS53:$BA56,8,FALSE)</f>
        <v>0</v>
      </c>
      <c r="BR55" s="16">
        <f>VLOOKUP($BO55,$AS53:$BA56,6,FALSE)</f>
        <v>0</v>
      </c>
      <c r="BS55" s="16" t="str">
        <f>IF(AND($BP55=$BP56,$BQ55=$BQ56,$BR56&gt;$BR55),$BO56,$BO55)</f>
        <v>Patti don't shout @ me</v>
      </c>
      <c r="BT55" s="16">
        <f>VLOOKUP($BS55,$AS53:$BA56,9,FALSE)</f>
        <v>0</v>
      </c>
      <c r="BU55" s="16">
        <f>VLOOKUP($BS55,$AS53:$BA56,8,FALSE)</f>
        <v>0</v>
      </c>
      <c r="BV55" s="16">
        <f>VLOOKUP($BS55,$AS53:$BA56,6,FALSE)</f>
        <v>0</v>
      </c>
      <c r="BW55" s="16" t="str">
        <f>IF(AND($BT53=$BT55,$BU53=$BU55,$BV54&gt;$BV53),$BS53,$BS55)</f>
        <v>Patti don't shout @ me</v>
      </c>
      <c r="BX55" s="16">
        <f>VLOOKUP($BW55,$AS53:$BA56,9,FALSE)</f>
        <v>0</v>
      </c>
      <c r="BY55" s="16">
        <f>VLOOKUP($BW55,$AS53:$BA56,8,FALSE)</f>
        <v>0</v>
      </c>
      <c r="BZ55" s="16">
        <f>VLOOKUP($BW55,$AS53:$BA56,6,FALSE)</f>
        <v>0</v>
      </c>
      <c r="CA55" s="16" t="str">
        <f>IF(AND($BX54=$BX55,$BY54=$BY55,$BZ55&gt;$BZ54),$BW54,$BW55)</f>
        <v>Patti don't shout @ me</v>
      </c>
      <c r="CB55" s="16">
        <f>VLOOKUP($CA55,$AS53:$BA56,9,FALSE)</f>
        <v>0</v>
      </c>
      <c r="CC55" s="16">
        <f>VLOOKUP($CA55,$AS53:$BA56,8,FALSE)</f>
        <v>0</v>
      </c>
      <c r="CD55" s="16">
        <f>VLOOKUP($CA55,$AS53:$BA56,6,FALSE)</f>
        <v>0</v>
      </c>
      <c r="CH55" s="16" t="str">
        <f>CA55</f>
        <v>Patti don't shout @ me</v>
      </c>
      <c r="CI55" s="16">
        <f>VLOOKUP($CH55,$AS53:$BA56,2,FALSE)</f>
        <v>3</v>
      </c>
      <c r="CJ55" s="16">
        <f>VLOOKUP($CH55,$AS53:$BA56,3,FALSE)</f>
        <v>0</v>
      </c>
      <c r="CK55" s="16">
        <f>VLOOKUP($CH55,$AS53:$BA56,4,FALSE)</f>
        <v>0</v>
      </c>
      <c r="CL55" s="16">
        <f>VLOOKUP($CH55,$AS53:$BA56,5,FALSE)</f>
        <v>3</v>
      </c>
      <c r="CM55" s="16">
        <f>VLOOKUP($CH55,$AS53:$BA56,6,FALSE)</f>
        <v>0</v>
      </c>
      <c r="CN55" s="16">
        <f>VLOOKUP($CH55,$AS53:$BA56,7,FALSE)</f>
        <v>0</v>
      </c>
      <c r="CO55" s="16">
        <f>VLOOKUP($CH55,$AS53:$BA56,8,FALSE)</f>
        <v>0</v>
      </c>
      <c r="CP55" s="16">
        <f>VLOOKUP($CH55,$AS53:$BA56,9,FALSE)</f>
        <v>0</v>
      </c>
      <c r="CR55" s="21" t="e">
        <f>#REF!</f>
        <v>#REF!</v>
      </c>
    </row>
    <row r="56" spans="1:96" ht="9.75" customHeight="1" x14ac:dyDescent="0.2">
      <c r="A56" s="346"/>
      <c r="B56" s="346"/>
      <c r="C56" s="346"/>
      <c r="D56" s="154"/>
      <c r="E56" s="154"/>
      <c r="F56" s="154"/>
      <c r="G56" s="154"/>
      <c r="H56" s="154"/>
      <c r="I56" s="549"/>
      <c r="J56" s="549"/>
      <c r="K56" s="549"/>
      <c r="L56" s="548"/>
      <c r="M56" s="548"/>
      <c r="N56" s="548"/>
      <c r="O56" s="548"/>
      <c r="P56" s="548"/>
      <c r="Q56" s="24"/>
      <c r="R56" s="346"/>
      <c r="S56" s="346"/>
      <c r="T56" s="346"/>
      <c r="U56" s="154"/>
      <c r="V56" s="154"/>
      <c r="W56" s="154"/>
      <c r="X56" s="154"/>
      <c r="Y56" s="154"/>
      <c r="Z56" s="549"/>
      <c r="AA56" s="549"/>
      <c r="AB56" s="549"/>
      <c r="AC56" s="548"/>
      <c r="AD56" s="548"/>
      <c r="AE56" s="548"/>
      <c r="AF56" s="548"/>
      <c r="AG56" s="548"/>
      <c r="AH56" s="65"/>
      <c r="AI56" s="78"/>
      <c r="AJ56" s="57"/>
      <c r="AK56" s="78"/>
      <c r="AL56" s="78"/>
      <c r="AM56" s="47"/>
      <c r="AN56" s="45"/>
      <c r="AO56" s="45"/>
      <c r="AP56" s="45"/>
      <c r="AQ56" s="45"/>
      <c r="AS56" s="16" t="str">
        <f>KWALIFICATIE!S16</f>
        <v>Sporting Almere</v>
      </c>
      <c r="AT56" s="16">
        <f>COUNT(Mexico_Played)</f>
        <v>3</v>
      </c>
      <c r="AU56" s="16">
        <f>COUNTIF(Groupstage_Winners,"Mexico")</f>
        <v>0</v>
      </c>
      <c r="AV56" s="16">
        <f>COUNTIF(Groupstage_Losers,"Mexico")</f>
        <v>0</v>
      </c>
      <c r="AW56" s="16">
        <f>AT56-(AU56+AV56)</f>
        <v>3</v>
      </c>
      <c r="AX56" s="16">
        <f>SUM(Mexico_Played)</f>
        <v>0</v>
      </c>
      <c r="AY56" s="16">
        <f>SUM(Mexico_Against)</f>
        <v>0</v>
      </c>
      <c r="AZ56" s="16">
        <f>AX56-AY56</f>
        <v>0</v>
      </c>
      <c r="BA56" s="16">
        <v>0</v>
      </c>
      <c r="BB56" s="16" t="str">
        <f>IF($BA56&lt;=$BA55,$AS56,$AS55)</f>
        <v>Sporting Almere</v>
      </c>
      <c r="BC56" s="16">
        <f>VLOOKUP($BB56,$AS53:$BA56,9,FALSE)</f>
        <v>0</v>
      </c>
      <c r="BD56" s="16" t="str">
        <f>IF(BC56&lt;=BC54,BB56,BB54)</f>
        <v>Sporting Almere</v>
      </c>
      <c r="BE56" s="16">
        <f>VLOOKUP($BD56,$AS53:$BA56,9,FALSE)</f>
        <v>0</v>
      </c>
      <c r="BF56" s="16" t="str">
        <f>IF($BE56&lt;=$BE53,$BD56,$BD53)</f>
        <v>Sporting Almere</v>
      </c>
      <c r="BG56" s="16">
        <f>VLOOKUP($BF56,$AS53:$BA56,9,FALSE)</f>
        <v>0</v>
      </c>
      <c r="BH56" s="16">
        <f>VLOOKUP($BF56,$AS53:$BA56,8,FALSE)</f>
        <v>0</v>
      </c>
      <c r="BI56" s="16" t="str">
        <f>IF(AND($BG55=$BG56,$BH56&gt;$BH55),$BF55,$BF56)</f>
        <v>Sporting Almere</v>
      </c>
      <c r="BJ56" s="16">
        <f>VLOOKUP($BI56,$AS53:$BA56,9,FALSE)</f>
        <v>0</v>
      </c>
      <c r="BK56" s="16">
        <f>VLOOKUP($BI56,$AS53:$BA56,8,FALSE)</f>
        <v>0</v>
      </c>
      <c r="BL56" s="16" t="str">
        <f>IF(AND($BJ54=$BJ56,$BK56&gt;$BK54),$BI54,$BI56)</f>
        <v>Sporting Almere</v>
      </c>
      <c r="BM56" s="16">
        <f>VLOOKUP($BL56,$AS53:$BA56,9,FALSE)</f>
        <v>0</v>
      </c>
      <c r="BN56" s="16">
        <f>VLOOKUP($BL56,$AS53:$BA56,8,FALSE)</f>
        <v>0</v>
      </c>
      <c r="BO56" s="16" t="str">
        <f>IF(AND($BM53=$BM56,$BN56&gt;$BN53),$BL53,$BL56)</f>
        <v>Sporting Almere</v>
      </c>
      <c r="BP56" s="16">
        <f>VLOOKUP($BO56,$AS53:$BA56,9,FALSE)</f>
        <v>0</v>
      </c>
      <c r="BQ56" s="16">
        <f>VLOOKUP($BO56,$AS53:$BA56,8,FALSE)</f>
        <v>0</v>
      </c>
      <c r="BR56" s="16">
        <f>VLOOKUP($BO56,$AS53:$BA56,6,FALSE)</f>
        <v>0</v>
      </c>
      <c r="BS56" s="16" t="str">
        <f>IF(AND($BP55=$BP56,$BQ55=$BQ56,$BR56&gt;$BR55),$BO55,$BO56)</f>
        <v>Sporting Almere</v>
      </c>
      <c r="BT56" s="16">
        <f>VLOOKUP($BS56,$AS53:$BA56,9,FALSE)</f>
        <v>0</v>
      </c>
      <c r="BU56" s="16">
        <f>VLOOKUP($BS56,$AS53:$BA56,8,FALSE)</f>
        <v>0</v>
      </c>
      <c r="BV56" s="16">
        <f>VLOOKUP($BS56,$AS53:$BA56,6,FALSE)</f>
        <v>0</v>
      </c>
      <c r="BW56" s="16" t="str">
        <f>IF(AND($BT54=$BT56,$BU54=$BU56,$BV56&gt;$BV54),$BS54,$BS56)</f>
        <v>Sporting Almere</v>
      </c>
      <c r="BX56" s="16">
        <f>VLOOKUP($BW56,$AS53:$BA56,9,FALSE)</f>
        <v>0</v>
      </c>
      <c r="BY56" s="16">
        <f>VLOOKUP($BW56,$AS53:$BA56,8,FALSE)</f>
        <v>0</v>
      </c>
      <c r="BZ56" s="16">
        <f>VLOOKUP($BW56,$AS53:$BA56,6,FALSE)</f>
        <v>0</v>
      </c>
      <c r="CA56" s="16" t="str">
        <f>IF(AND($BX53=$BX56,$BY53=$BY56,$BZ56&gt;$BZ53),$BW53,$BW56)</f>
        <v>Sporting Almere</v>
      </c>
      <c r="CB56" s="16">
        <f>VLOOKUP($CA56,$AS53:$BA56,9,FALSE)</f>
        <v>0</v>
      </c>
      <c r="CC56" s="16">
        <f>VLOOKUP($CA56,$AS53:$BA56,8,FALSE)</f>
        <v>0</v>
      </c>
      <c r="CD56" s="16">
        <f>VLOOKUP($CA56,$AS53:$BA56,6,FALSE)</f>
        <v>0</v>
      </c>
      <c r="CH56" s="16" t="str">
        <f>CA56</f>
        <v>Sporting Almere</v>
      </c>
      <c r="CI56" s="16">
        <f>VLOOKUP($CH56,$AS53:$BA56,2,FALSE)</f>
        <v>3</v>
      </c>
      <c r="CJ56" s="16">
        <f>VLOOKUP($CH56,$AS53:$BA56,3,FALSE)</f>
        <v>0</v>
      </c>
      <c r="CK56" s="16">
        <f>VLOOKUP($CH56,$AS53:$BA56,4,FALSE)</f>
        <v>0</v>
      </c>
      <c r="CL56" s="16">
        <f>VLOOKUP($CH56,$AS53:$BA56,5,FALSE)</f>
        <v>3</v>
      </c>
      <c r="CM56" s="16">
        <f>VLOOKUP($CH56,$AS53:$BA56,6,FALSE)</f>
        <v>0</v>
      </c>
      <c r="CN56" s="16">
        <f>VLOOKUP($CH56,$AS53:$BA56,7,FALSE)</f>
        <v>0</v>
      </c>
      <c r="CO56" s="16">
        <f>VLOOKUP($CH56,$AS53:$BA56,8,FALSE)</f>
        <v>0</v>
      </c>
      <c r="CP56" s="16">
        <f>VLOOKUP($CH56,$AS53:$BA56,9,FALSE)</f>
        <v>0</v>
      </c>
      <c r="CR56" s="21"/>
    </row>
    <row r="57" spans="1:96" ht="12.95" customHeight="1" x14ac:dyDescent="0.2">
      <c r="A57" s="540"/>
      <c r="B57" s="518"/>
      <c r="C57" s="283"/>
      <c r="D57" s="337"/>
      <c r="E57" s="283"/>
      <c r="F57" s="518"/>
      <c r="G57" s="518"/>
      <c r="H57" s="518"/>
      <c r="I57" s="27"/>
      <c r="J57" s="283"/>
      <c r="K57" s="129"/>
      <c r="L57" s="518"/>
      <c r="M57" s="518"/>
      <c r="N57" s="518"/>
      <c r="O57" s="518"/>
      <c r="P57" s="518"/>
      <c r="Q57" s="24"/>
      <c r="R57" s="540"/>
      <c r="S57" s="518"/>
      <c r="T57" s="283"/>
      <c r="U57" s="337"/>
      <c r="V57" s="283"/>
      <c r="W57" s="518"/>
      <c r="X57" s="518"/>
      <c r="Y57" s="518"/>
      <c r="Z57" s="27"/>
      <c r="AA57" s="283"/>
      <c r="AB57" s="129"/>
      <c r="AC57" s="518"/>
      <c r="AD57" s="518"/>
      <c r="AE57" s="518"/>
      <c r="AF57" s="518"/>
      <c r="AG57" s="518"/>
      <c r="AH57" s="65"/>
      <c r="AI57" s="78"/>
      <c r="AJ57" s="57"/>
      <c r="AK57" s="78"/>
      <c r="AL57" s="78"/>
      <c r="AM57" s="47"/>
      <c r="AN57" s="45"/>
      <c r="AO57" s="45"/>
      <c r="AP57" s="45"/>
      <c r="AQ57" s="45"/>
      <c r="CR57" s="21"/>
    </row>
    <row r="58" spans="1:96" ht="12.95" customHeight="1" x14ac:dyDescent="0.2">
      <c r="A58" s="540"/>
      <c r="B58" s="518"/>
      <c r="C58" s="283"/>
      <c r="D58" s="24"/>
      <c r="E58" s="283"/>
      <c r="F58" s="518"/>
      <c r="G58" s="518"/>
      <c r="H58" s="518"/>
      <c r="I58" s="27"/>
      <c r="J58" s="283"/>
      <c r="K58" s="129"/>
      <c r="L58" s="518"/>
      <c r="M58" s="518"/>
      <c r="N58" s="518"/>
      <c r="O58" s="518"/>
      <c r="P58" s="518"/>
      <c r="Q58" s="24"/>
      <c r="R58" s="540"/>
      <c r="S58" s="518"/>
      <c r="T58" s="283"/>
      <c r="U58" s="24"/>
      <c r="V58" s="283"/>
      <c r="W58" s="518"/>
      <c r="X58" s="518"/>
      <c r="Y58" s="518"/>
      <c r="Z58" s="27"/>
      <c r="AA58" s="283"/>
      <c r="AB58" s="129"/>
      <c r="AC58" s="518"/>
      <c r="AD58" s="518"/>
      <c r="AE58" s="518"/>
      <c r="AF58" s="518"/>
      <c r="AG58" s="518"/>
      <c r="AH58" s="65"/>
      <c r="AI58" s="79"/>
      <c r="AJ58" s="80"/>
      <c r="AK58" s="79"/>
      <c r="AL58" s="79"/>
      <c r="AM58" s="47"/>
      <c r="AN58" s="42"/>
      <c r="AO58" s="41"/>
      <c r="AP58" s="41"/>
      <c r="AS58" s="16" t="s">
        <v>209</v>
      </c>
      <c r="CR58" s="21"/>
    </row>
    <row r="59" spans="1:96" ht="12.95" customHeight="1" x14ac:dyDescent="0.2">
      <c r="A59" s="540"/>
      <c r="B59" s="518"/>
      <c r="C59" s="283"/>
      <c r="D59" s="24"/>
      <c r="E59" s="283"/>
      <c r="F59" s="518"/>
      <c r="G59" s="518"/>
      <c r="H59" s="518"/>
      <c r="I59" s="27"/>
      <c r="J59" s="283"/>
      <c r="K59" s="129"/>
      <c r="L59" s="518"/>
      <c r="M59" s="518"/>
      <c r="N59" s="518"/>
      <c r="O59" s="518"/>
      <c r="P59" s="518"/>
      <c r="Q59" s="24"/>
      <c r="R59" s="540"/>
      <c r="S59" s="518"/>
      <c r="T59" s="283"/>
      <c r="U59" s="24"/>
      <c r="V59" s="283"/>
      <c r="W59" s="518"/>
      <c r="X59" s="518"/>
      <c r="Y59" s="518"/>
      <c r="Z59" s="27"/>
      <c r="AA59" s="283"/>
      <c r="AB59" s="129"/>
      <c r="AC59" s="518"/>
      <c r="AD59" s="518"/>
      <c r="AE59" s="518"/>
      <c r="AF59" s="518"/>
      <c r="AG59" s="518"/>
      <c r="AH59" s="65"/>
      <c r="AI59" s="81"/>
      <c r="AJ59" s="80"/>
      <c r="AK59" s="81"/>
      <c r="AL59" s="81"/>
      <c r="AM59" s="47"/>
      <c r="AN59" s="43"/>
      <c r="AO59" s="41"/>
      <c r="AP59" s="41"/>
      <c r="AT59" s="16" t="s">
        <v>124</v>
      </c>
      <c r="AU59" s="16" t="s">
        <v>110</v>
      </c>
      <c r="AV59" s="16" t="s">
        <v>125</v>
      </c>
      <c r="AW59" s="16" t="s">
        <v>126</v>
      </c>
      <c r="AX59" s="16" t="s">
        <v>127</v>
      </c>
      <c r="AY59" s="16" t="s">
        <v>123</v>
      </c>
      <c r="AZ59" s="16" t="s">
        <v>128</v>
      </c>
      <c r="BA59" s="16" t="s">
        <v>129</v>
      </c>
      <c r="CR59" s="21"/>
    </row>
    <row r="60" spans="1:96" ht="12.95" customHeight="1" thickBot="1" x14ac:dyDescent="0.25">
      <c r="A60" s="540"/>
      <c r="B60" s="518"/>
      <c r="C60" s="283"/>
      <c r="D60" s="24"/>
      <c r="E60" s="283"/>
      <c r="F60" s="518"/>
      <c r="G60" s="518"/>
      <c r="H60" s="518"/>
      <c r="I60" s="27"/>
      <c r="J60" s="283"/>
      <c r="K60" s="129"/>
      <c r="L60" s="518"/>
      <c r="M60" s="518"/>
      <c r="N60" s="518"/>
      <c r="O60" s="518"/>
      <c r="P60" s="518"/>
      <c r="Q60" s="24"/>
      <c r="R60" s="540"/>
      <c r="S60" s="518"/>
      <c r="T60" s="283"/>
      <c r="U60" s="24"/>
      <c r="V60" s="283"/>
      <c r="W60" s="518"/>
      <c r="X60" s="518"/>
      <c r="Y60" s="518"/>
      <c r="Z60" s="27"/>
      <c r="AA60" s="283"/>
      <c r="AB60" s="129"/>
      <c r="AC60" s="518"/>
      <c r="AD60" s="518"/>
      <c r="AE60" s="518"/>
      <c r="AF60" s="518"/>
      <c r="AG60" s="518"/>
      <c r="AH60" s="65"/>
      <c r="AI60" s="82"/>
      <c r="AJ60" s="83"/>
      <c r="AK60" s="82"/>
      <c r="AL60" s="82"/>
      <c r="AM60" s="47"/>
      <c r="AN60" s="41"/>
      <c r="AO60" s="41"/>
      <c r="AP60" s="41"/>
      <c r="AS60" s="16" t="str">
        <f>KWALIFICATIE!Z12</f>
        <v>FC Isjeneefer</v>
      </c>
      <c r="AT60" s="16">
        <f>COUNT(Japan_Played)</f>
        <v>3</v>
      </c>
      <c r="AU60" s="16">
        <f>COUNTIF(Groupstage_Winners,"Japan")</f>
        <v>0</v>
      </c>
      <c r="AV60" s="16">
        <f>COUNTIF(Groupstage_Losers,"Japan")</f>
        <v>0</v>
      </c>
      <c r="AW60" s="16">
        <f>AT60-(AU60+AV60)</f>
        <v>3</v>
      </c>
      <c r="AX60" s="16">
        <f>SUM(Japan_Played)</f>
        <v>0</v>
      </c>
      <c r="AY60" s="16">
        <f>SUM(Japan_Against)</f>
        <v>0</v>
      </c>
      <c r="AZ60" s="16">
        <f>AX60-AY60</f>
        <v>0</v>
      </c>
      <c r="BA60" s="16">
        <v>0</v>
      </c>
      <c r="BB60" s="16" t="str">
        <f>IF($BA60&gt;=$BA61,$AS60,$AS61)</f>
        <v>FC Isjeneefer</v>
      </c>
      <c r="BC60" s="16">
        <f>VLOOKUP($BB60,$AS60:$BA63,9,FALSE)</f>
        <v>0</v>
      </c>
      <c r="BD60" s="16" t="str">
        <f>IF($BC60&gt;=$BC62,$BB60,$BB62)</f>
        <v>FC Isjeneefer</v>
      </c>
      <c r="BE60" s="16">
        <f>VLOOKUP($BD60,$AS60:$BA63,9,FALSE)</f>
        <v>0</v>
      </c>
      <c r="BF60" s="16" t="str">
        <f>IF($BE60&gt;=$BE63,$BD60,$BD63)</f>
        <v>FC Isjeneefer</v>
      </c>
      <c r="BG60" s="16">
        <f>VLOOKUP($BF60,$AS60:$BA63,9,FALSE)</f>
        <v>0</v>
      </c>
      <c r="BH60" s="16">
        <f>VLOOKUP($BF60,$AS60:$BA63,8,FALSE)</f>
        <v>0</v>
      </c>
      <c r="BI60" s="16" t="str">
        <f>IF(AND($BG60=$BG61,$BH61&gt;$BH60),$BF61,$BF60)</f>
        <v>FC Isjeneefer</v>
      </c>
      <c r="BJ60" s="16">
        <f>VLOOKUP($BI60,$AS60:$BA63,9,FALSE)</f>
        <v>0</v>
      </c>
      <c r="BK60" s="16">
        <f>VLOOKUP($BI60,$AS60:$BA63,8,FALSE)</f>
        <v>0</v>
      </c>
      <c r="BL60" s="16" t="str">
        <f>IF(AND($BJ60=$BJ62,$BK62&gt;$BK60),$BI62,$BI60)</f>
        <v>FC Isjeneefer</v>
      </c>
      <c r="BM60" s="16">
        <f>VLOOKUP($BL60,$AS60:$BA63,9,FALSE)</f>
        <v>0</v>
      </c>
      <c r="BN60" s="16">
        <f>VLOOKUP($BL60,$AS60:$BA63,8,FALSE)</f>
        <v>0</v>
      </c>
      <c r="BO60" s="16" t="str">
        <f>IF(AND($BM60=$BM63,$BN63&gt;$BN60),$BL63,$BL60)</f>
        <v>FC Isjeneefer</v>
      </c>
      <c r="BP60" s="16">
        <f>VLOOKUP($BO60,$AS60:$BA63,9,FALSE)</f>
        <v>0</v>
      </c>
      <c r="BQ60" s="16">
        <f>VLOOKUP($BO60,$AS60:$BA63,8,FALSE)</f>
        <v>0</v>
      </c>
      <c r="BR60" s="16">
        <f>VLOOKUP($BO60,$AS60:$BA63,6,FALSE)</f>
        <v>0</v>
      </c>
      <c r="BS60" s="16" t="str">
        <f>IF(AND($BP60=$BP61,$BQ60=$BQ61,$BR61&gt;$BR60),$BO61,$BO60)</f>
        <v>FC Isjeneefer</v>
      </c>
      <c r="BT60" s="16">
        <f>VLOOKUP($BS60,$AS60:$BA63,9,FALSE)</f>
        <v>0</v>
      </c>
      <c r="BU60" s="16">
        <f>VLOOKUP($BS60,$AS60:$BA63,8,FALSE)</f>
        <v>0</v>
      </c>
      <c r="BV60" s="16">
        <f>VLOOKUP($BS60,$AS60:$BA63,6,FALSE)</f>
        <v>0</v>
      </c>
      <c r="BW60" s="16" t="str">
        <f>IF(AND($BT60=$BT62,$BU60=$BU62,$BV62&gt;$BV60),$BS62,$BS60)</f>
        <v>FC Isjeneefer</v>
      </c>
      <c r="BX60" s="16">
        <f>VLOOKUP($BW60,$AS60:$BA63,9,FALSE)</f>
        <v>0</v>
      </c>
      <c r="BY60" s="16">
        <f>VLOOKUP($BW60,$AS60:$BA63,8,FALSE)</f>
        <v>0</v>
      </c>
      <c r="BZ60" s="16">
        <f>VLOOKUP($BW60,$AS60:$BA63,6,FALSE)</f>
        <v>0</v>
      </c>
      <c r="CA60" s="16" t="str">
        <f>IF(AND($BX60=$BX63,$BY60=$BY63,$BZ63&gt;$BZ60),$BW63,$BW60)</f>
        <v>FC Isjeneefer</v>
      </c>
      <c r="CB60" s="16">
        <f>VLOOKUP($CA60,$AS60:$BA63,9,FALSE)</f>
        <v>0</v>
      </c>
      <c r="CC60" s="16">
        <f>VLOOKUP($CA60,$AS60:$BA63,8,FALSE)</f>
        <v>0</v>
      </c>
      <c r="CD60" s="16">
        <f>VLOOKUP($CA60,$AS60:$BA63,6,FALSE)</f>
        <v>0</v>
      </c>
      <c r="CH60" s="16" t="str">
        <f>CA60</f>
        <v>FC Isjeneefer</v>
      </c>
      <c r="CI60" s="16">
        <f>VLOOKUP($CH60,$AS60:$BA63,2,FALSE)</f>
        <v>3</v>
      </c>
      <c r="CJ60" s="16">
        <f>VLOOKUP($CH60,$AS60:$BA63,3,FALSE)</f>
        <v>0</v>
      </c>
      <c r="CK60" s="16">
        <f>VLOOKUP($CH60,$AS60:$BA63,4,FALSE)</f>
        <v>0</v>
      </c>
      <c r="CL60" s="16">
        <f>VLOOKUP($CH60,$AS60:$BA63,5,FALSE)</f>
        <v>3</v>
      </c>
      <c r="CM60" s="16">
        <f>VLOOKUP($CH60,$AS60:$BA63,6,FALSE)</f>
        <v>0</v>
      </c>
      <c r="CN60" s="16">
        <f>VLOOKUP($CH60,$AS60:$BA63,7,FALSE)</f>
        <v>0</v>
      </c>
      <c r="CO60" s="16">
        <f>VLOOKUP($CH60,$AS60:$BA63,8,FALSE)</f>
        <v>0</v>
      </c>
      <c r="CP60" s="16">
        <f>VLOOKUP($CH60,$AS60:$BA63,9,FALSE)</f>
        <v>0</v>
      </c>
      <c r="CR60" s="21"/>
    </row>
    <row r="61" spans="1:96" ht="12.95" customHeight="1" thickBot="1" x14ac:dyDescent="0.25">
      <c r="A61" s="540"/>
      <c r="B61" s="518"/>
      <c r="C61" s="283"/>
      <c r="D61" s="24"/>
      <c r="E61" s="283"/>
      <c r="F61" s="518"/>
      <c r="G61" s="518"/>
      <c r="H61" s="518"/>
      <c r="I61" s="27"/>
      <c r="J61" s="283"/>
      <c r="K61" s="129"/>
      <c r="L61" s="518"/>
      <c r="M61" s="518"/>
      <c r="N61" s="518"/>
      <c r="O61" s="518"/>
      <c r="P61" s="518"/>
      <c r="Q61" s="24"/>
      <c r="R61" s="540"/>
      <c r="S61" s="518"/>
      <c r="T61" s="283"/>
      <c r="U61" s="24"/>
      <c r="V61" s="283"/>
      <c r="W61" s="518"/>
      <c r="X61" s="518"/>
      <c r="Y61" s="518"/>
      <c r="Z61" s="27"/>
      <c r="AA61" s="283"/>
      <c r="AB61" s="129"/>
      <c r="AC61" s="518"/>
      <c r="AD61" s="518"/>
      <c r="AE61" s="518"/>
      <c r="AF61" s="518"/>
      <c r="AG61" s="518"/>
      <c r="AH61" s="65"/>
      <c r="AI61" s="83" t="str">
        <f>IF(G36=3,C36,"Winner E")</f>
        <v>Winner E</v>
      </c>
      <c r="AJ61" s="84"/>
      <c r="AK61" s="85"/>
      <c r="AL61" s="82" t="e">
        <f>IF(X6=3,T6,"Runner-Up B")</f>
        <v>#REF!</v>
      </c>
      <c r="AM61" s="47"/>
      <c r="AN61" s="41"/>
      <c r="AO61" s="41" t="str">
        <f>IF(AJ61&lt;&gt;"",IF(AJ61&gt;AK61,AI61,IF(AK61&gt;AJ61,AL61,"Draw")),"Second Rd 1")</f>
        <v>Second Rd 1</v>
      </c>
      <c r="AP61" s="41"/>
      <c r="AS61" s="16" t="str">
        <f>KWALIFICATIE!Z13</f>
        <v>Kampongveldert</v>
      </c>
      <c r="AT61" s="16">
        <f>COUNT(Belgium_Played)</f>
        <v>3</v>
      </c>
      <c r="AU61" s="16">
        <f>COUNTIF(Groupstage_Winners,"Belgium")</f>
        <v>0</v>
      </c>
      <c r="AV61" s="16">
        <f>COUNTIF(Groupstage_Losers,"Belgium")</f>
        <v>0</v>
      </c>
      <c r="AW61" s="16">
        <f>AT61-(AU61+AV61)</f>
        <v>3</v>
      </c>
      <c r="AX61" s="16">
        <f>SUM(Belgium_Played)</f>
        <v>0</v>
      </c>
      <c r="AY61" s="16">
        <f>SUM(Belgium_Against)</f>
        <v>0</v>
      </c>
      <c r="AZ61" s="16">
        <f>AX61-AY61</f>
        <v>0</v>
      </c>
      <c r="BA61" s="16">
        <v>0</v>
      </c>
      <c r="BB61" s="16" t="str">
        <f>IF($BA61&lt;=$BA60,$AS61,$AS60)</f>
        <v>Kampongveldert</v>
      </c>
      <c r="BC61" s="16">
        <f>VLOOKUP($BB61,$AS60:$BA63,9,FALSE)</f>
        <v>0</v>
      </c>
      <c r="BD61" s="16" t="str">
        <f>IF(BC61&gt;=BC63,BB61,BB63)</f>
        <v>Kampongveldert</v>
      </c>
      <c r="BE61" s="16">
        <f>VLOOKUP($BD61,$AS60:$BA63,9,FALSE)</f>
        <v>0</v>
      </c>
      <c r="BF61" s="16" t="str">
        <f>IF($BE61&gt;=$BE62,$BD61,$BD62)</f>
        <v>Kampongveldert</v>
      </c>
      <c r="BG61" s="16">
        <f>VLOOKUP($BF61,$AS60:$BA63,9,FALSE)</f>
        <v>0</v>
      </c>
      <c r="BH61" s="16">
        <f>VLOOKUP($BF61,$AS60:$BA63,8,FALSE)</f>
        <v>0</v>
      </c>
      <c r="BI61" s="16" t="str">
        <f>IF(AND($BG60=$BG61,$BH61&gt;$BH60),$BF60,$BF61)</f>
        <v>Kampongveldert</v>
      </c>
      <c r="BJ61" s="16">
        <f>VLOOKUP($BI61,$AS60:$BA63,9,FALSE)</f>
        <v>0</v>
      </c>
      <c r="BK61" s="16">
        <f>VLOOKUP($BI61,$AS60:$BA63,8,FALSE)</f>
        <v>0</v>
      </c>
      <c r="BL61" s="16" t="str">
        <f>IF(AND($BJ61=$BJ63,$BK63&gt;$BK61),$BI63,$BI61)</f>
        <v>Kampongveldert</v>
      </c>
      <c r="BM61" s="16">
        <f>VLOOKUP($BL61,$AS60:$BA63,9,FALSE)</f>
        <v>0</v>
      </c>
      <c r="BN61" s="16">
        <f>VLOOKUP($BL61,$AS60:$BA63,8,FALSE)</f>
        <v>0</v>
      </c>
      <c r="BO61" s="16" t="str">
        <f>IF(AND($BM61=$BM62,$BN62&gt;$BN61),$BL62,$BL61)</f>
        <v>Kampongveldert</v>
      </c>
      <c r="BP61" s="16">
        <f>VLOOKUP($BO61,$AS60:$BA63,9,FALSE)</f>
        <v>0</v>
      </c>
      <c r="BQ61" s="16">
        <f>VLOOKUP($BO61,$AS60:$BA63,8,FALSE)</f>
        <v>0</v>
      </c>
      <c r="BR61" s="16">
        <f>VLOOKUP($BO61,$AS60:$BA63,6,FALSE)</f>
        <v>0</v>
      </c>
      <c r="BS61" s="16" t="str">
        <f>IF(AND($BP60=$BP61,$BQ60=$BQ61,$BR61&gt;$BR60),$BO60,$BO61)</f>
        <v>Kampongveldert</v>
      </c>
      <c r="BT61" s="16">
        <f>VLOOKUP($BS61,$AS60:$BA63,9,FALSE)</f>
        <v>0</v>
      </c>
      <c r="BU61" s="16">
        <f>VLOOKUP($BS61,$AS60:$BA63,8,FALSE)</f>
        <v>0</v>
      </c>
      <c r="BV61" s="16">
        <f>VLOOKUP($BS61,$AS60:$BA63,6,FALSE)</f>
        <v>0</v>
      </c>
      <c r="BW61" s="16" t="str">
        <f>IF(AND($BT61=$BT63,$BU61=$BU63,$BV63&gt;$BV61),$BS63,$BS61)</f>
        <v>Kampongveldert</v>
      </c>
      <c r="BX61" s="16">
        <f>VLOOKUP($BW61,$AS60:$BA63,9,FALSE)</f>
        <v>0</v>
      </c>
      <c r="BY61" s="16">
        <f>VLOOKUP($BW61,$AS60:$BA63,8,FALSE)</f>
        <v>0</v>
      </c>
      <c r="BZ61" s="16">
        <f>VLOOKUP($BW61,$AS60:$BA63,6,FALSE)</f>
        <v>0</v>
      </c>
      <c r="CA61" s="16" t="str">
        <f>IF(AND($BX61=$BX62,$BY61=$BY62,$BZ62&gt;$BZ61),$BW62,$BW61)</f>
        <v>Kampongveldert</v>
      </c>
      <c r="CB61" s="16">
        <f>VLOOKUP($CA61,$AS60:$BA63,9,FALSE)</f>
        <v>0</v>
      </c>
      <c r="CC61" s="16">
        <f>VLOOKUP($CA61,$AS60:$BA63,8,FALSE)</f>
        <v>0</v>
      </c>
      <c r="CD61" s="16">
        <f>VLOOKUP($CA61,$AS60:$BA63,6,FALSE)</f>
        <v>0</v>
      </c>
      <c r="CH61" s="16" t="str">
        <f>CA61</f>
        <v>Kampongveldert</v>
      </c>
      <c r="CI61" s="16">
        <f>VLOOKUP($CH61,$AS60:$BA63,2,FALSE)</f>
        <v>3</v>
      </c>
      <c r="CJ61" s="16">
        <f>VLOOKUP($CH61,$AS60:$BA63,3,FALSE)</f>
        <v>0</v>
      </c>
      <c r="CK61" s="16">
        <f>VLOOKUP($CH61,$AS60:$BA63,4,FALSE)</f>
        <v>0</v>
      </c>
      <c r="CL61" s="16">
        <f>VLOOKUP($CH61,$AS60:$BA63,5,FALSE)</f>
        <v>3</v>
      </c>
      <c r="CM61" s="16">
        <f>VLOOKUP($CH61,$AS60:$BA63,6,FALSE)</f>
        <v>0</v>
      </c>
      <c r="CN61" s="16">
        <f>VLOOKUP($CH61,$AS60:$BA63,7,FALSE)</f>
        <v>0</v>
      </c>
      <c r="CO61" s="16">
        <f>VLOOKUP($CH61,$AS60:$BA63,8,FALSE)</f>
        <v>0</v>
      </c>
      <c r="CP61" s="16">
        <f>VLOOKUP($CH61,$AS60:$BA63,9,FALSE)</f>
        <v>0</v>
      </c>
      <c r="CR61" s="21" t="e">
        <f>#REF!</f>
        <v>#REF!</v>
      </c>
    </row>
    <row r="62" spans="1:96" ht="12.95" customHeight="1" thickBot="1" x14ac:dyDescent="0.25">
      <c r="A62" s="540"/>
      <c r="B62" s="518"/>
      <c r="C62" s="283"/>
      <c r="D62" s="24"/>
      <c r="E62" s="283"/>
      <c r="F62" s="518"/>
      <c r="G62" s="518"/>
      <c r="H62" s="518"/>
      <c r="I62" s="27"/>
      <c r="J62" s="283"/>
      <c r="K62" s="129"/>
      <c r="L62" s="518"/>
      <c r="M62" s="518"/>
      <c r="N62" s="518"/>
      <c r="O62" s="518"/>
      <c r="P62" s="518"/>
      <c r="Q62" s="24"/>
      <c r="R62" s="540"/>
      <c r="S62" s="518"/>
      <c r="T62" s="283"/>
      <c r="U62" s="24"/>
      <c r="V62" s="283"/>
      <c r="W62" s="518"/>
      <c r="X62" s="518"/>
      <c r="Y62" s="518"/>
      <c r="Z62" s="27"/>
      <c r="AA62" s="283"/>
      <c r="AB62" s="129"/>
      <c r="AC62" s="518"/>
      <c r="AD62" s="518"/>
      <c r="AE62" s="518"/>
      <c r="AF62" s="518"/>
      <c r="AG62" s="518"/>
      <c r="AH62" s="65"/>
      <c r="AI62" s="83" t="e">
        <f>IF(G5=3,C5,"Winner A")</f>
        <v>#REF!</v>
      </c>
      <c r="AJ62" s="84"/>
      <c r="AK62" s="85"/>
      <c r="AL62" s="82" t="str">
        <f>IF(X37=3,T37,"Runner-Up F")</f>
        <v>Runner-Up F</v>
      </c>
      <c r="AM62" s="47"/>
      <c r="AN62" s="41"/>
      <c r="AO62" s="41" t="str">
        <f>IF(AJ62&lt;&gt;"",IF(AJ62&gt;AK62,AI62,IF(AK62&gt;AJ62,AL62,"Draw")),"Second Rd 2")</f>
        <v>Second Rd 2</v>
      </c>
      <c r="AP62" s="41"/>
      <c r="AS62" s="16" t="str">
        <f>KWALIFICATIE!Z14</f>
        <v>Orion</v>
      </c>
      <c r="AT62" s="16">
        <f>COUNT(Russia_Played)</f>
        <v>3</v>
      </c>
      <c r="AU62" s="16">
        <f>COUNTIF(Groupstage_Winners,"Russia")</f>
        <v>0</v>
      </c>
      <c r="AV62" s="16">
        <f>COUNTIF(Groupstage_Losers,"Russia")</f>
        <v>0</v>
      </c>
      <c r="AW62" s="16">
        <f>AT62-(AU62+AV62)</f>
        <v>3</v>
      </c>
      <c r="AX62" s="16">
        <f>SUM(Russia_Played)</f>
        <v>0</v>
      </c>
      <c r="AY62" s="16">
        <f>SUM(Russia_Against)</f>
        <v>0</v>
      </c>
      <c r="AZ62" s="16">
        <f>AX62-AY62</f>
        <v>0</v>
      </c>
      <c r="BA62" s="16">
        <v>0</v>
      </c>
      <c r="BB62" s="16" t="str">
        <f>IF($BA62&gt;=$BA63,$AS62,$AS63)</f>
        <v>Orion</v>
      </c>
      <c r="BC62" s="16">
        <f>VLOOKUP($BB62,$AS60:$BA63,9,FALSE)</f>
        <v>0</v>
      </c>
      <c r="BD62" s="16" t="str">
        <f>IF($BC62&lt;=$BC60,$BB62,$BB60)</f>
        <v>Orion</v>
      </c>
      <c r="BE62" s="16">
        <f>VLOOKUP($BD62,$AS60:$BA63,9,FALSE)</f>
        <v>0</v>
      </c>
      <c r="BF62" s="16" t="str">
        <f>IF($BE62&lt;=$BE61,$BD62,$BD61)</f>
        <v>Orion</v>
      </c>
      <c r="BG62" s="16">
        <f>VLOOKUP($BF62,$AS60:$BA63,9,FALSE)</f>
        <v>0</v>
      </c>
      <c r="BH62" s="16">
        <f>VLOOKUP($BF62,$AS60:$BA63,8,FALSE)</f>
        <v>0</v>
      </c>
      <c r="BI62" s="16" t="str">
        <f>IF(AND($BG62=$BG63,$BH63&gt;$BH62),$BF63,$BF62)</f>
        <v>Orion</v>
      </c>
      <c r="BJ62" s="16">
        <f>VLOOKUP($BI62,$AS60:$BA63,9,FALSE)</f>
        <v>0</v>
      </c>
      <c r="BK62" s="16">
        <f>VLOOKUP($BI62,$AS60:$BA63,8,FALSE)</f>
        <v>0</v>
      </c>
      <c r="BL62" s="16" t="str">
        <f>IF(AND($BJ60=$BJ62,$BK62&gt;$BK60),$BI60,$BI62)</f>
        <v>Orion</v>
      </c>
      <c r="BM62" s="16">
        <f>VLOOKUP($BL62,$AS60:$BA63,9,FALSE)</f>
        <v>0</v>
      </c>
      <c r="BN62" s="16">
        <f>VLOOKUP($BL62,$AS60:$BA63,8,FALSE)</f>
        <v>0</v>
      </c>
      <c r="BO62" s="16" t="str">
        <f>IF(AND($BM61=$BM62,$BN62&gt;$BN61),$BL61,$BL62)</f>
        <v>Orion</v>
      </c>
      <c r="BP62" s="16">
        <f>VLOOKUP($BO62,$AS60:$BA63,9,FALSE)</f>
        <v>0</v>
      </c>
      <c r="BQ62" s="16">
        <f>VLOOKUP($BO62,$AS60:$BA63,8,FALSE)</f>
        <v>0</v>
      </c>
      <c r="BR62" s="16">
        <f>VLOOKUP($BO62,$AS60:$BA63,6,FALSE)</f>
        <v>0</v>
      </c>
      <c r="BS62" s="16" t="str">
        <f>IF(AND($BP62=$BP63,$BQ62=$BQ63,$BR63&gt;$BR62),$BO63,$BO62)</f>
        <v>Orion</v>
      </c>
      <c r="BT62" s="16">
        <f>VLOOKUP($BS62,$AS60:$BA63,9,FALSE)</f>
        <v>0</v>
      </c>
      <c r="BU62" s="16">
        <f>VLOOKUP($BS62,$AS60:$BA63,8,FALSE)</f>
        <v>0</v>
      </c>
      <c r="BV62" s="16">
        <f>VLOOKUP($BS62,$AS60:$BA63,6,FALSE)</f>
        <v>0</v>
      </c>
      <c r="BW62" s="16" t="str">
        <f>IF(AND($BT60=$BT62,$BU60=$BU62,$BV61&gt;$BV60),$BS60,$BS62)</f>
        <v>Orion</v>
      </c>
      <c r="BX62" s="16">
        <f>VLOOKUP($BW62,$AS60:$BA63,9,FALSE)</f>
        <v>0</v>
      </c>
      <c r="BY62" s="16">
        <f>VLOOKUP($BW62,$AS60:$BA63,8,FALSE)</f>
        <v>0</v>
      </c>
      <c r="BZ62" s="16">
        <f>VLOOKUP($BW62,$AS60:$BA63,6,FALSE)</f>
        <v>0</v>
      </c>
      <c r="CA62" s="16" t="str">
        <f>IF(AND($BX61=$BX62,$BY61=$BY62,$BZ62&gt;$BZ61),$BW61,$BW62)</f>
        <v>Orion</v>
      </c>
      <c r="CB62" s="16">
        <f>VLOOKUP($CA62,$AS60:$BA63,9,FALSE)</f>
        <v>0</v>
      </c>
      <c r="CC62" s="16">
        <f>VLOOKUP($CA62,$AS60:$BA63,8,FALSE)</f>
        <v>0</v>
      </c>
      <c r="CD62" s="16">
        <f>VLOOKUP($CA62,$AS60:$BA63,6,FALSE)</f>
        <v>0</v>
      </c>
      <c r="CH62" s="16" t="str">
        <f>CA62</f>
        <v>Orion</v>
      </c>
      <c r="CI62" s="16">
        <f>VLOOKUP($CH62,$AS60:$BA63,2,FALSE)</f>
        <v>3</v>
      </c>
      <c r="CJ62" s="16">
        <f>VLOOKUP($CH62,$AS60:$BA63,3,FALSE)</f>
        <v>0</v>
      </c>
      <c r="CK62" s="16">
        <f>VLOOKUP($CH62,$AS60:$BA63,4,FALSE)</f>
        <v>0</v>
      </c>
      <c r="CL62" s="16">
        <f>VLOOKUP($CH62,$AS60:$BA63,5,FALSE)</f>
        <v>3</v>
      </c>
      <c r="CM62" s="16">
        <f>VLOOKUP($CH62,$AS60:$BA63,6,FALSE)</f>
        <v>0</v>
      </c>
      <c r="CN62" s="16">
        <f>VLOOKUP($CH62,$AS60:$BA63,7,FALSE)</f>
        <v>0</v>
      </c>
      <c r="CO62" s="16">
        <f>VLOOKUP($CH62,$AS60:$BA63,8,FALSE)</f>
        <v>0</v>
      </c>
      <c r="CP62" s="16">
        <f>VLOOKUP($CH62,$AS60:$BA63,9,FALSE)</f>
        <v>0</v>
      </c>
      <c r="CR62" s="21" t="e">
        <f>#REF!</f>
        <v>#REF!</v>
      </c>
    </row>
    <row r="63" spans="1:96" ht="13.5" thickBot="1" x14ac:dyDescent="0.25">
      <c r="AI63" s="83" t="str">
        <f>IF(X36=3,T36,"Winner F")</f>
        <v>Winner F</v>
      </c>
      <c r="AJ63" s="84"/>
      <c r="AK63" s="85"/>
      <c r="AL63" s="82" t="e">
        <f>IF(G6=3,C6,"Runner-Up A")</f>
        <v>#REF!</v>
      </c>
      <c r="AN63" s="41"/>
      <c r="AO63" s="41" t="str">
        <f>IF(AJ63&lt;&gt;"",IF(AJ63&gt;AK63,AI63,IF(AK63&gt;AJ63,AL63,"Draw")),"Second Rd 3")</f>
        <v>Second Rd 3</v>
      </c>
      <c r="AP63" s="41"/>
      <c r="AS63" s="16">
        <f>KWALIFICATIE!Z16</f>
        <v>0</v>
      </c>
      <c r="AT63" s="16">
        <f>COUNT(Tunisia_Played)</f>
        <v>3</v>
      </c>
      <c r="AU63" s="16">
        <f>COUNTIF(Groupstage_Winners,"Tunisia")</f>
        <v>0</v>
      </c>
      <c r="AV63" s="16">
        <f>COUNTIF(Groupstage_Losers,"Tunisia")</f>
        <v>0</v>
      </c>
      <c r="AW63" s="16">
        <f>AT63-(AU63+AV63)</f>
        <v>3</v>
      </c>
      <c r="AX63" s="16">
        <f>SUM(Tunisia_Played)</f>
        <v>0</v>
      </c>
      <c r="AY63" s="16">
        <f>SUM(Tunisia_Against)</f>
        <v>0</v>
      </c>
      <c r="AZ63" s="16">
        <f>AX63-AY63</f>
        <v>0</v>
      </c>
      <c r="BA63" s="16">
        <v>0</v>
      </c>
      <c r="BB63" s="16">
        <f>IF($BA63&lt;=$BA62,$AS63,$AS62)</f>
        <v>0</v>
      </c>
      <c r="BC63" s="16">
        <f>VLOOKUP($BB63,$AS60:$BA63,9,FALSE)</f>
        <v>0</v>
      </c>
      <c r="BD63" s="16">
        <f>IF(BC63&lt;=BC61,BB63,BB61)</f>
        <v>0</v>
      </c>
      <c r="BE63" s="16">
        <f>VLOOKUP($BD63,$AS60:$BA63,9,FALSE)</f>
        <v>0</v>
      </c>
      <c r="BF63" s="16">
        <f>IF($BE63&lt;=$BE60,$BD63,$BD60)</f>
        <v>0</v>
      </c>
      <c r="BG63" s="16">
        <f>VLOOKUP($BF63,$AS60:$BA63,9,FALSE)</f>
        <v>0</v>
      </c>
      <c r="BH63" s="16">
        <f>VLOOKUP($BF63,$AS60:$BA63,8,FALSE)</f>
        <v>0</v>
      </c>
      <c r="BI63" s="16">
        <f>IF(AND($BG62=$BG63,$BH63&gt;$BH62),$BF62,$BF63)</f>
        <v>0</v>
      </c>
      <c r="BJ63" s="16">
        <f>VLOOKUP($BI63,$AS60:$BA63,9,FALSE)</f>
        <v>0</v>
      </c>
      <c r="BK63" s="16">
        <f>VLOOKUP($BI63,$AS60:$BA63,8,FALSE)</f>
        <v>0</v>
      </c>
      <c r="BL63" s="16">
        <f>IF(AND($BJ61=$BJ63,$BK63&gt;$BK61),$BI61,$BI63)</f>
        <v>0</v>
      </c>
      <c r="BM63" s="16">
        <f>VLOOKUP($BL63,$AS60:$BA63,9,FALSE)</f>
        <v>0</v>
      </c>
      <c r="BN63" s="16">
        <f>VLOOKUP($BL63,$AS60:$BA63,8,FALSE)</f>
        <v>0</v>
      </c>
      <c r="BO63" s="16">
        <f>IF(AND($BM60=$BM63,$BN63&gt;$BN60),$BL60,$BL63)</f>
        <v>0</v>
      </c>
      <c r="BP63" s="16">
        <f>VLOOKUP($BO63,$AS60:$BA63,9,FALSE)</f>
        <v>0</v>
      </c>
      <c r="BQ63" s="16">
        <f>VLOOKUP($BO63,$AS60:$BA63,8,FALSE)</f>
        <v>0</v>
      </c>
      <c r="BR63" s="16">
        <f>VLOOKUP($BO63,$AS60:$BA63,6,FALSE)</f>
        <v>0</v>
      </c>
      <c r="BS63" s="16">
        <f>IF(AND($BP62=$BP63,$BQ62=$BQ63,$BR63&gt;$BR62),$BO62,$BO63)</f>
        <v>0</v>
      </c>
      <c r="BT63" s="16">
        <f>VLOOKUP($BS63,$AS60:$BA63,9,FALSE)</f>
        <v>0</v>
      </c>
      <c r="BU63" s="16">
        <f>VLOOKUP($BS63,$AS60:$BA63,8,FALSE)</f>
        <v>0</v>
      </c>
      <c r="BV63" s="16">
        <f>VLOOKUP($BS63,$AS60:$BA63,6,FALSE)</f>
        <v>0</v>
      </c>
      <c r="BW63" s="16">
        <f>IF(AND($BT61=$BT63,$BU61=$BU63,$BV63&gt;$BV61),$BS61,$BS63)</f>
        <v>0</v>
      </c>
      <c r="BX63" s="16">
        <f>VLOOKUP($BW63,$AS60:$BA63,9,FALSE)</f>
        <v>0</v>
      </c>
      <c r="BY63" s="16">
        <f>VLOOKUP($BW63,$AS60:$BA63,8,FALSE)</f>
        <v>0</v>
      </c>
      <c r="BZ63" s="16">
        <f>VLOOKUP($BW63,$AS60:$BA63,6,FALSE)</f>
        <v>0</v>
      </c>
      <c r="CA63" s="16">
        <f>IF(AND($BX60=$BX63,$BY60=$BY63,$BZ63&gt;$BZ60),$BW60,$BW63)</f>
        <v>0</v>
      </c>
      <c r="CB63" s="16">
        <f>VLOOKUP($CA63,$AS60:$BA63,9,FALSE)</f>
        <v>0</v>
      </c>
      <c r="CC63" s="16">
        <f>VLOOKUP($CA63,$AS60:$BA63,8,FALSE)</f>
        <v>0</v>
      </c>
      <c r="CD63" s="16">
        <f>VLOOKUP($CA63,$AS60:$BA63,6,FALSE)</f>
        <v>0</v>
      </c>
      <c r="CH63" s="16">
        <f>CA63</f>
        <v>0</v>
      </c>
      <c r="CI63" s="16">
        <f>VLOOKUP($CH63,$AS60:$BA63,2,FALSE)</f>
        <v>3</v>
      </c>
      <c r="CJ63" s="16">
        <f>VLOOKUP($CH63,$AS60:$BA63,3,FALSE)</f>
        <v>0</v>
      </c>
      <c r="CK63" s="16">
        <f>VLOOKUP($CH63,$AS60:$BA63,4,FALSE)</f>
        <v>0</v>
      </c>
      <c r="CL63" s="16">
        <f>VLOOKUP($CH63,$AS60:$BA63,5,FALSE)</f>
        <v>3</v>
      </c>
      <c r="CM63" s="16">
        <f>VLOOKUP($CH63,$AS60:$BA63,6,FALSE)</f>
        <v>0</v>
      </c>
      <c r="CN63" s="16">
        <f>VLOOKUP($CH63,$AS60:$BA63,7,FALSE)</f>
        <v>0</v>
      </c>
      <c r="CO63" s="16">
        <f>VLOOKUP($CH63,$AS60:$BA63,8,FALSE)</f>
        <v>0</v>
      </c>
      <c r="CP63" s="16">
        <f>VLOOKUP($CH63,$AS60:$BA63,9,FALSE)</f>
        <v>0</v>
      </c>
      <c r="CR63" s="21" t="e">
        <f>#REF!</f>
        <v>#REF!</v>
      </c>
    </row>
    <row r="64" spans="1:96" ht="13.5" thickBot="1" x14ac:dyDescent="0.25">
      <c r="AI64" s="83" t="e">
        <f>IF(X5=3,T5,"Winner B")</f>
        <v>#REF!</v>
      </c>
      <c r="AJ64" s="84"/>
      <c r="AK64" s="85"/>
      <c r="AL64" s="82" t="str">
        <f>IF(G37=3,C37,"Runner-Up E")</f>
        <v>Runner-Up E</v>
      </c>
      <c r="AN64" s="41"/>
      <c r="AO64" s="41" t="str">
        <f>IF(AJ64&lt;&gt;"",IF(AJ64&gt;AK64,AI64,IF(AK64&gt;AJ64,AL64,"Draw")),"Second Rd 4")</f>
        <v>Second Rd 4</v>
      </c>
      <c r="AP64" s="41"/>
      <c r="CR64" s="21" t="e">
        <f>#REF!</f>
        <v>#REF!</v>
      </c>
    </row>
    <row r="65" spans="96:96" x14ac:dyDescent="0.2">
      <c r="CR65" s="21"/>
    </row>
    <row r="66" spans="96:96" x14ac:dyDescent="0.2">
      <c r="CR66" s="21"/>
    </row>
    <row r="67" spans="96:96" x14ac:dyDescent="0.2">
      <c r="CR67" s="21"/>
    </row>
    <row r="68" spans="96:96" x14ac:dyDescent="0.2">
      <c r="CR68" s="21"/>
    </row>
    <row r="69" spans="96:96" x14ac:dyDescent="0.2">
      <c r="CR69" s="21"/>
    </row>
    <row r="70" spans="96:96" x14ac:dyDescent="0.2">
      <c r="CR70" s="21"/>
    </row>
    <row r="71" spans="96:96" x14ac:dyDescent="0.2">
      <c r="CR71" s="21"/>
    </row>
    <row r="72" spans="96:96" x14ac:dyDescent="0.2">
      <c r="CR72" s="21"/>
    </row>
    <row r="73" spans="96:96" x14ac:dyDescent="0.2">
      <c r="CR73" s="21"/>
    </row>
    <row r="74" spans="96:96" x14ac:dyDescent="0.2">
      <c r="CR74" s="21"/>
    </row>
    <row r="75" spans="96:96" x14ac:dyDescent="0.2">
      <c r="CR75" s="21"/>
    </row>
    <row r="76" spans="96:96" x14ac:dyDescent="0.2">
      <c r="CR76" s="21"/>
    </row>
    <row r="77" spans="96:96" x14ac:dyDescent="0.2">
      <c r="CR77" s="21"/>
    </row>
    <row r="78" spans="96:96" x14ac:dyDescent="0.2">
      <c r="CR78" s="21"/>
    </row>
    <row r="79" spans="96:96" x14ac:dyDescent="0.2">
      <c r="CR79" s="21"/>
    </row>
    <row r="80" spans="96:96" x14ac:dyDescent="0.2">
      <c r="CR80" s="21"/>
    </row>
    <row r="81" spans="96:96" x14ac:dyDescent="0.2">
      <c r="CR81" s="21"/>
    </row>
    <row r="82" spans="96:96" x14ac:dyDescent="0.2">
      <c r="CR82" s="21"/>
    </row>
    <row r="83" spans="96:96" x14ac:dyDescent="0.2">
      <c r="CR83" s="21"/>
    </row>
    <row r="84" spans="96:96" x14ac:dyDescent="0.2">
      <c r="CR84" s="21"/>
    </row>
    <row r="85" spans="96:96" x14ac:dyDescent="0.2">
      <c r="CR85" s="21"/>
    </row>
    <row r="86" spans="96:96" x14ac:dyDescent="0.2">
      <c r="CR86" s="21"/>
    </row>
    <row r="87" spans="96:96" x14ac:dyDescent="0.2">
      <c r="CR87" s="21"/>
    </row>
    <row r="88" spans="96:96" x14ac:dyDescent="0.2">
      <c r="CR88" s="21"/>
    </row>
    <row r="89" spans="96:96" x14ac:dyDescent="0.2">
      <c r="CR89" s="21"/>
    </row>
    <row r="90" spans="96:96" x14ac:dyDescent="0.2">
      <c r="CR90" s="21"/>
    </row>
    <row r="91" spans="96:96" x14ac:dyDescent="0.2">
      <c r="CR91" s="21"/>
    </row>
    <row r="92" spans="96:96" x14ac:dyDescent="0.2">
      <c r="CR92" s="21"/>
    </row>
    <row r="93" spans="96:96" x14ac:dyDescent="0.2">
      <c r="CR93" s="21"/>
    </row>
    <row r="94" spans="96:96" x14ac:dyDescent="0.2">
      <c r="CR94" s="21"/>
    </row>
    <row r="95" spans="96:96" x14ac:dyDescent="0.2">
      <c r="CR95" s="21"/>
    </row>
    <row r="96" spans="96:96" x14ac:dyDescent="0.2">
      <c r="CR96" s="21"/>
    </row>
    <row r="97" spans="96:96" x14ac:dyDescent="0.2">
      <c r="CR97" s="21"/>
    </row>
    <row r="98" spans="96:96" x14ac:dyDescent="0.2">
      <c r="CR98" s="21"/>
    </row>
    <row r="99" spans="96:96" x14ac:dyDescent="0.2">
      <c r="CR99" s="21"/>
    </row>
    <row r="100" spans="96:96" x14ac:dyDescent="0.2">
      <c r="CR100" s="21"/>
    </row>
    <row r="101" spans="96:96" x14ac:dyDescent="0.2">
      <c r="CR101" s="21"/>
    </row>
    <row r="102" spans="96:96" x14ac:dyDescent="0.2">
      <c r="CR102" s="21"/>
    </row>
    <row r="103" spans="96:96" x14ac:dyDescent="0.2">
      <c r="CR103" s="21"/>
    </row>
    <row r="104" spans="96:96" x14ac:dyDescent="0.2">
      <c r="CR104" s="21"/>
    </row>
    <row r="105" spans="96:96" x14ac:dyDescent="0.2">
      <c r="CR105" s="21"/>
    </row>
    <row r="106" spans="96:96" x14ac:dyDescent="0.2">
      <c r="CR106" s="21"/>
    </row>
    <row r="107" spans="96:96" x14ac:dyDescent="0.2">
      <c r="CR107" s="21"/>
    </row>
    <row r="108" spans="96:96" x14ac:dyDescent="0.2">
      <c r="CR108" s="21"/>
    </row>
    <row r="109" spans="96:96" x14ac:dyDescent="0.2">
      <c r="CR109" s="21"/>
    </row>
    <row r="110" spans="96:96" x14ac:dyDescent="0.2">
      <c r="CR110" s="21"/>
    </row>
    <row r="111" spans="96:96" x14ac:dyDescent="0.2">
      <c r="CR111" s="21"/>
    </row>
    <row r="112" spans="96:96" x14ac:dyDescent="0.2">
      <c r="CR112" s="21"/>
    </row>
    <row r="113" spans="96:96" x14ac:dyDescent="0.2">
      <c r="CR113" s="21"/>
    </row>
    <row r="114" spans="96:96" x14ac:dyDescent="0.2">
      <c r="CR114" s="21"/>
    </row>
    <row r="115" spans="96:96" x14ac:dyDescent="0.2">
      <c r="CR115" s="21"/>
    </row>
    <row r="116" spans="96:96" x14ac:dyDescent="0.2">
      <c r="CR116" s="21"/>
    </row>
    <row r="117" spans="96:96" x14ac:dyDescent="0.2">
      <c r="CR117" s="21"/>
    </row>
    <row r="118" spans="96:96" x14ac:dyDescent="0.2">
      <c r="CR118" s="21"/>
    </row>
    <row r="119" spans="96:96" x14ac:dyDescent="0.2">
      <c r="CR119" s="21"/>
    </row>
    <row r="120" spans="96:96" x14ac:dyDescent="0.2">
      <c r="CR120" s="21"/>
    </row>
    <row r="121" spans="96:96" x14ac:dyDescent="0.2">
      <c r="CR121" s="21"/>
    </row>
    <row r="122" spans="96:96" x14ac:dyDescent="0.2">
      <c r="CR122" s="21"/>
    </row>
    <row r="123" spans="96:96" x14ac:dyDescent="0.2">
      <c r="CR123" s="21"/>
    </row>
    <row r="124" spans="96:96" x14ac:dyDescent="0.2">
      <c r="CR124" s="18"/>
    </row>
    <row r="125" spans="96:96" x14ac:dyDescent="0.2">
      <c r="CR125" s="18"/>
    </row>
    <row r="126" spans="96:96" x14ac:dyDescent="0.2">
      <c r="CR126" s="18"/>
    </row>
    <row r="127" spans="96:96" x14ac:dyDescent="0.2">
      <c r="CR127" s="18"/>
    </row>
    <row r="128" spans="96:96" x14ac:dyDescent="0.2">
      <c r="CR128" s="18"/>
    </row>
    <row r="129" spans="96:96" x14ac:dyDescent="0.2">
      <c r="CR129" s="18"/>
    </row>
    <row r="130" spans="96:96" x14ac:dyDescent="0.2">
      <c r="CR130" s="18"/>
    </row>
    <row r="131" spans="96:96" x14ac:dyDescent="0.2">
      <c r="CR131" s="18"/>
    </row>
    <row r="132" spans="96:96" x14ac:dyDescent="0.2">
      <c r="CR132" s="18"/>
    </row>
    <row r="133" spans="96:96" x14ac:dyDescent="0.2">
      <c r="CR133" s="18"/>
    </row>
    <row r="134" spans="96:96" x14ac:dyDescent="0.2">
      <c r="CR134" s="18"/>
    </row>
    <row r="135" spans="96:96" x14ac:dyDescent="0.2">
      <c r="CR135" s="18"/>
    </row>
    <row r="136" spans="96:96" x14ac:dyDescent="0.2">
      <c r="CR136" s="18"/>
    </row>
    <row r="137" spans="96:96" x14ac:dyDescent="0.2">
      <c r="CR137" s="18"/>
    </row>
    <row r="138" spans="96:96" x14ac:dyDescent="0.2">
      <c r="CR138" s="18"/>
    </row>
    <row r="139" spans="96:96" x14ac:dyDescent="0.2">
      <c r="CR139" s="18"/>
    </row>
    <row r="140" spans="96:96" x14ac:dyDescent="0.2">
      <c r="CR140" s="18"/>
    </row>
    <row r="141" spans="96:96" x14ac:dyDescent="0.2">
      <c r="CR141" s="18"/>
    </row>
    <row r="142" spans="96:96" x14ac:dyDescent="0.2">
      <c r="CR142" s="18"/>
    </row>
    <row r="143" spans="96:96" x14ac:dyDescent="0.2">
      <c r="CR143" s="18"/>
    </row>
    <row r="144" spans="96:96" x14ac:dyDescent="0.2">
      <c r="CR144" s="18"/>
    </row>
    <row r="145" spans="96:96" x14ac:dyDescent="0.2">
      <c r="CR145" s="18"/>
    </row>
    <row r="146" spans="96:96" x14ac:dyDescent="0.2">
      <c r="CR146" s="18"/>
    </row>
    <row r="147" spans="96:96" x14ac:dyDescent="0.2">
      <c r="CR147" s="18"/>
    </row>
    <row r="148" spans="96:96" x14ac:dyDescent="0.2">
      <c r="CR148" s="18"/>
    </row>
    <row r="149" spans="96:96" x14ac:dyDescent="0.2">
      <c r="CR149" s="18"/>
    </row>
    <row r="150" spans="96:96" x14ac:dyDescent="0.2">
      <c r="CR150" s="18"/>
    </row>
    <row r="151" spans="96:96" x14ac:dyDescent="0.2">
      <c r="CR151" s="18"/>
    </row>
    <row r="152" spans="96:96" x14ac:dyDescent="0.2">
      <c r="CR152" s="18"/>
    </row>
    <row r="153" spans="96:96" x14ac:dyDescent="0.2">
      <c r="CR153" s="18"/>
    </row>
    <row r="154" spans="96:96" x14ac:dyDescent="0.2">
      <c r="CR154" s="18"/>
    </row>
    <row r="155" spans="96:96" x14ac:dyDescent="0.2">
      <c r="CR155" s="18"/>
    </row>
    <row r="156" spans="96:96" x14ac:dyDescent="0.2">
      <c r="CR156" s="18"/>
    </row>
    <row r="157" spans="96:96" x14ac:dyDescent="0.2">
      <c r="CR157" s="18"/>
    </row>
    <row r="158" spans="96:96" x14ac:dyDescent="0.2">
      <c r="CR158" s="18"/>
    </row>
    <row r="159" spans="96:96" x14ac:dyDescent="0.2">
      <c r="CR159" s="18"/>
    </row>
    <row r="160" spans="96:96" x14ac:dyDescent="0.2">
      <c r="CR160" s="18"/>
    </row>
    <row r="161" spans="96:96" x14ac:dyDescent="0.2">
      <c r="CR161" s="18"/>
    </row>
    <row r="162" spans="96:96" x14ac:dyDescent="0.2">
      <c r="CR162" s="18"/>
    </row>
    <row r="163" spans="96:96" x14ac:dyDescent="0.2">
      <c r="CR163" s="18"/>
    </row>
    <row r="164" spans="96:96" x14ac:dyDescent="0.2">
      <c r="CR164" s="18"/>
    </row>
    <row r="165" spans="96:96" x14ac:dyDescent="0.2">
      <c r="CR165" s="18"/>
    </row>
    <row r="166" spans="96:96" x14ac:dyDescent="0.2">
      <c r="CR166" s="18"/>
    </row>
    <row r="167" spans="96:96" x14ac:dyDescent="0.2">
      <c r="CR167" s="18"/>
    </row>
    <row r="168" spans="96:96" x14ac:dyDescent="0.2">
      <c r="CR168" s="18"/>
    </row>
    <row r="169" spans="96:96" x14ac:dyDescent="0.2">
      <c r="CR169" s="18"/>
    </row>
    <row r="170" spans="96:96" x14ac:dyDescent="0.2">
      <c r="CR170" s="18"/>
    </row>
    <row r="171" spans="96:96" x14ac:dyDescent="0.2">
      <c r="CR171" s="18"/>
    </row>
    <row r="172" spans="96:96" x14ac:dyDescent="0.2">
      <c r="CR172" s="18"/>
    </row>
    <row r="173" spans="96:96" x14ac:dyDescent="0.2">
      <c r="CR173" s="18"/>
    </row>
    <row r="174" spans="96:96" x14ac:dyDescent="0.2">
      <c r="CR174" s="18"/>
    </row>
    <row r="175" spans="96:96" x14ac:dyDescent="0.2">
      <c r="CR175" s="18"/>
    </row>
    <row r="176" spans="96:96" x14ac:dyDescent="0.2">
      <c r="CR176" s="18"/>
    </row>
    <row r="177" spans="96:96" x14ac:dyDescent="0.2">
      <c r="CR177" s="18"/>
    </row>
    <row r="178" spans="96:96" x14ac:dyDescent="0.2">
      <c r="CR178" s="18"/>
    </row>
    <row r="179" spans="96:96" x14ac:dyDescent="0.2">
      <c r="CR179" s="18"/>
    </row>
    <row r="180" spans="96:96" x14ac:dyDescent="0.2">
      <c r="CR180" s="18"/>
    </row>
    <row r="181" spans="96:96" x14ac:dyDescent="0.2">
      <c r="CR181" s="18"/>
    </row>
    <row r="182" spans="96:96" x14ac:dyDescent="0.2">
      <c r="CR182" s="18"/>
    </row>
    <row r="183" spans="96:96" x14ac:dyDescent="0.2">
      <c r="CR183" s="18"/>
    </row>
    <row r="184" spans="96:96" x14ac:dyDescent="0.2">
      <c r="CR184" s="18"/>
    </row>
    <row r="185" spans="96:96" x14ac:dyDescent="0.2">
      <c r="CR185" s="18"/>
    </row>
    <row r="186" spans="96:96" x14ac:dyDescent="0.2">
      <c r="CR186" s="18"/>
    </row>
    <row r="187" spans="96:96" x14ac:dyDescent="0.2">
      <c r="CR187" s="18"/>
    </row>
    <row r="188" spans="96:96" x14ac:dyDescent="0.2">
      <c r="CR188" s="18"/>
    </row>
    <row r="189" spans="96:96" x14ac:dyDescent="0.2">
      <c r="CR189" s="18"/>
    </row>
    <row r="190" spans="96:96" x14ac:dyDescent="0.2">
      <c r="CR190" s="18"/>
    </row>
    <row r="191" spans="96:96" x14ac:dyDescent="0.2">
      <c r="CR191" s="18"/>
    </row>
    <row r="192" spans="96:96" x14ac:dyDescent="0.2">
      <c r="CR192" s="18"/>
    </row>
    <row r="193" spans="96:96" x14ac:dyDescent="0.2">
      <c r="CR193" s="18"/>
    </row>
    <row r="194" spans="96:96" x14ac:dyDescent="0.2">
      <c r="CR194" s="18"/>
    </row>
    <row r="195" spans="96:96" x14ac:dyDescent="0.2">
      <c r="CR195" s="18"/>
    </row>
    <row r="196" spans="96:96" x14ac:dyDescent="0.2">
      <c r="CR196" s="18"/>
    </row>
    <row r="197" spans="96:96" x14ac:dyDescent="0.2">
      <c r="CR197" s="18"/>
    </row>
    <row r="198" spans="96:96" x14ac:dyDescent="0.2">
      <c r="CR198" s="18"/>
    </row>
    <row r="199" spans="96:96" x14ac:dyDescent="0.2">
      <c r="CR199" s="18"/>
    </row>
    <row r="200" spans="96:96" x14ac:dyDescent="0.2">
      <c r="CR200" s="18"/>
    </row>
    <row r="201" spans="96:96" x14ac:dyDescent="0.2">
      <c r="CR201" s="18"/>
    </row>
    <row r="202" spans="96:96" x14ac:dyDescent="0.2">
      <c r="CR202" s="18"/>
    </row>
    <row r="203" spans="96:96" x14ac:dyDescent="0.2">
      <c r="CR203" s="18"/>
    </row>
    <row r="204" spans="96:96" x14ac:dyDescent="0.2">
      <c r="CR204" s="18"/>
    </row>
    <row r="205" spans="96:96" x14ac:dyDescent="0.2">
      <c r="CR205" s="18"/>
    </row>
    <row r="206" spans="96:96" x14ac:dyDescent="0.2">
      <c r="CR206" s="18"/>
    </row>
    <row r="207" spans="96:96" x14ac:dyDescent="0.2">
      <c r="CR207" s="18"/>
    </row>
    <row r="208" spans="96:96" x14ac:dyDescent="0.2">
      <c r="CR208" s="18"/>
    </row>
    <row r="209" spans="96:96" x14ac:dyDescent="0.2">
      <c r="CR209" s="18"/>
    </row>
    <row r="210" spans="96:96" x14ac:dyDescent="0.2">
      <c r="CR210" s="18"/>
    </row>
    <row r="211" spans="96:96" x14ac:dyDescent="0.2">
      <c r="CR211" s="18"/>
    </row>
    <row r="212" spans="96:96" x14ac:dyDescent="0.2">
      <c r="CR212" s="18"/>
    </row>
    <row r="213" spans="96:96" x14ac:dyDescent="0.2">
      <c r="CR213" s="18"/>
    </row>
    <row r="214" spans="96:96" x14ac:dyDescent="0.2">
      <c r="CR214" s="18"/>
    </row>
    <row r="215" spans="96:96" x14ac:dyDescent="0.2">
      <c r="CR215" s="18"/>
    </row>
    <row r="216" spans="96:96" x14ac:dyDescent="0.2">
      <c r="CR216" s="18"/>
    </row>
    <row r="217" spans="96:96" x14ac:dyDescent="0.2">
      <c r="CR217" s="18"/>
    </row>
    <row r="218" spans="96:96" x14ac:dyDescent="0.2">
      <c r="CR218" s="18"/>
    </row>
    <row r="219" spans="96:96" x14ac:dyDescent="0.2">
      <c r="CR219" s="18"/>
    </row>
    <row r="220" spans="96:96" x14ac:dyDescent="0.2">
      <c r="CR220" s="18"/>
    </row>
    <row r="221" spans="96:96" x14ac:dyDescent="0.2">
      <c r="CR221" s="18"/>
    </row>
    <row r="222" spans="96:96" x14ac:dyDescent="0.2">
      <c r="CR222" s="18"/>
    </row>
    <row r="223" spans="96:96" x14ac:dyDescent="0.2">
      <c r="CR223" s="18"/>
    </row>
    <row r="224" spans="96:96" x14ac:dyDescent="0.2">
      <c r="CR224" s="18"/>
    </row>
    <row r="225" spans="96:96" x14ac:dyDescent="0.2">
      <c r="CR225" s="18"/>
    </row>
    <row r="226" spans="96:96" x14ac:dyDescent="0.2">
      <c r="CR226" s="18"/>
    </row>
    <row r="227" spans="96:96" x14ac:dyDescent="0.2">
      <c r="CR227" s="18"/>
    </row>
    <row r="228" spans="96:96" x14ac:dyDescent="0.2">
      <c r="CR228" s="18"/>
    </row>
    <row r="229" spans="96:96" x14ac:dyDescent="0.2">
      <c r="CR229" s="18"/>
    </row>
    <row r="230" spans="96:96" x14ac:dyDescent="0.2">
      <c r="CR230" s="18"/>
    </row>
    <row r="231" spans="96:96" x14ac:dyDescent="0.2">
      <c r="CR231" s="18"/>
    </row>
    <row r="232" spans="96:96" x14ac:dyDescent="0.2">
      <c r="CR232" s="18"/>
    </row>
    <row r="233" spans="96:96" x14ac:dyDescent="0.2">
      <c r="CR233" s="18"/>
    </row>
    <row r="234" spans="96:96" x14ac:dyDescent="0.2">
      <c r="CR234" s="18"/>
    </row>
    <row r="235" spans="96:96" x14ac:dyDescent="0.2">
      <c r="CR235" s="18"/>
    </row>
    <row r="236" spans="96:96" x14ac:dyDescent="0.2">
      <c r="CR236" s="18"/>
    </row>
    <row r="237" spans="96:96" x14ac:dyDescent="0.2">
      <c r="CR237" s="18"/>
    </row>
    <row r="238" spans="96:96" x14ac:dyDescent="0.2">
      <c r="CR238" s="18"/>
    </row>
    <row r="239" spans="96:96" x14ac:dyDescent="0.2">
      <c r="CR239" s="18"/>
    </row>
    <row r="240" spans="96:96" x14ac:dyDescent="0.2">
      <c r="CR240" s="18"/>
    </row>
    <row r="241" spans="96:96" x14ac:dyDescent="0.2">
      <c r="CR241" s="18"/>
    </row>
    <row r="242" spans="96:96" x14ac:dyDescent="0.2">
      <c r="CR242" s="18"/>
    </row>
    <row r="243" spans="96:96" x14ac:dyDescent="0.2">
      <c r="CR243" s="18"/>
    </row>
    <row r="244" spans="96:96" x14ac:dyDescent="0.2">
      <c r="CR244" s="18"/>
    </row>
    <row r="245" spans="96:96" x14ac:dyDescent="0.2">
      <c r="CR245" s="18"/>
    </row>
    <row r="246" spans="96:96" x14ac:dyDescent="0.2">
      <c r="CR246" s="18"/>
    </row>
    <row r="247" spans="96:96" x14ac:dyDescent="0.2">
      <c r="CR247" s="18"/>
    </row>
    <row r="248" spans="96:96" x14ac:dyDescent="0.2">
      <c r="CR248" s="18"/>
    </row>
    <row r="249" spans="96:96" x14ac:dyDescent="0.2">
      <c r="CR249" s="18"/>
    </row>
    <row r="250" spans="96:96" x14ac:dyDescent="0.2">
      <c r="CR250" s="18"/>
    </row>
    <row r="251" spans="96:96" x14ac:dyDescent="0.2">
      <c r="CR251" s="18"/>
    </row>
    <row r="252" spans="96:96" x14ac:dyDescent="0.2">
      <c r="CR252" s="18"/>
    </row>
    <row r="253" spans="96:96" x14ac:dyDescent="0.2">
      <c r="CR253" s="18"/>
    </row>
    <row r="254" spans="96:96" x14ac:dyDescent="0.2">
      <c r="CR254" s="18"/>
    </row>
    <row r="255" spans="96:96" x14ac:dyDescent="0.2">
      <c r="CR255" s="18"/>
    </row>
    <row r="256" spans="96:96" x14ac:dyDescent="0.2">
      <c r="CR256" s="18"/>
    </row>
    <row r="257" spans="96:96" x14ac:dyDescent="0.2">
      <c r="CR257" s="18"/>
    </row>
    <row r="258" spans="96:96" x14ac:dyDescent="0.2">
      <c r="CR258" s="18"/>
    </row>
    <row r="259" spans="96:96" x14ac:dyDescent="0.2">
      <c r="CR259" s="18"/>
    </row>
    <row r="260" spans="96:96" x14ac:dyDescent="0.2">
      <c r="CR260" s="18"/>
    </row>
    <row r="261" spans="96:96" x14ac:dyDescent="0.2">
      <c r="CR261" s="18"/>
    </row>
    <row r="262" spans="96:96" x14ac:dyDescent="0.2">
      <c r="CR262" s="18"/>
    </row>
    <row r="263" spans="96:96" x14ac:dyDescent="0.2">
      <c r="CR263" s="18"/>
    </row>
    <row r="264" spans="96:96" x14ac:dyDescent="0.2">
      <c r="CR264" s="18"/>
    </row>
    <row r="265" spans="96:96" x14ac:dyDescent="0.2">
      <c r="CR265" s="18"/>
    </row>
    <row r="266" spans="96:96" x14ac:dyDescent="0.2">
      <c r="CR266" s="18"/>
    </row>
    <row r="267" spans="96:96" x14ac:dyDescent="0.2">
      <c r="CR267" s="18"/>
    </row>
    <row r="268" spans="96:96" x14ac:dyDescent="0.2">
      <c r="CR268" s="18"/>
    </row>
    <row r="269" spans="96:96" x14ac:dyDescent="0.2">
      <c r="CR269" s="18"/>
    </row>
    <row r="270" spans="96:96" x14ac:dyDescent="0.2">
      <c r="CR270" s="18"/>
    </row>
    <row r="271" spans="96:96" x14ac:dyDescent="0.2">
      <c r="CR271" s="18"/>
    </row>
    <row r="272" spans="96:96" x14ac:dyDescent="0.2">
      <c r="CR272" s="18"/>
    </row>
    <row r="273" spans="96:96" x14ac:dyDescent="0.2">
      <c r="CR273" s="18"/>
    </row>
    <row r="274" spans="96:96" x14ac:dyDescent="0.2">
      <c r="CR274" s="18"/>
    </row>
    <row r="275" spans="96:96" x14ac:dyDescent="0.2">
      <c r="CR275" s="18"/>
    </row>
    <row r="276" spans="96:96" x14ac:dyDescent="0.2">
      <c r="CR276" s="18"/>
    </row>
    <row r="277" spans="96:96" x14ac:dyDescent="0.2">
      <c r="CR277" s="18"/>
    </row>
    <row r="278" spans="96:96" x14ac:dyDescent="0.2">
      <c r="CR278" s="18"/>
    </row>
    <row r="279" spans="96:96" x14ac:dyDescent="0.2">
      <c r="CR279" s="18"/>
    </row>
    <row r="280" spans="96:96" x14ac:dyDescent="0.2">
      <c r="CR280" s="18"/>
    </row>
    <row r="281" spans="96:96" x14ac:dyDescent="0.2">
      <c r="CR281" s="18"/>
    </row>
    <row r="282" spans="96:96" x14ac:dyDescent="0.2">
      <c r="CR282" s="18"/>
    </row>
    <row r="283" spans="96:96" x14ac:dyDescent="0.2">
      <c r="CR283" s="18"/>
    </row>
    <row r="284" spans="96:96" x14ac:dyDescent="0.2">
      <c r="CR284" s="18"/>
    </row>
    <row r="285" spans="96:96" x14ac:dyDescent="0.2">
      <c r="CR285" s="18"/>
    </row>
    <row r="286" spans="96:96" x14ac:dyDescent="0.2">
      <c r="CR286" s="18"/>
    </row>
    <row r="287" spans="96:96" x14ac:dyDescent="0.2">
      <c r="CR287" s="18"/>
    </row>
    <row r="288" spans="96:96" x14ac:dyDescent="0.2">
      <c r="CR288" s="18"/>
    </row>
    <row r="289" spans="96:96" x14ac:dyDescent="0.2">
      <c r="CR289" s="18"/>
    </row>
    <row r="290" spans="96:96" x14ac:dyDescent="0.2">
      <c r="CR290" s="18"/>
    </row>
    <row r="291" spans="96:96" x14ac:dyDescent="0.2">
      <c r="CR291" s="18"/>
    </row>
    <row r="292" spans="96:96" x14ac:dyDescent="0.2">
      <c r="CR292" s="18"/>
    </row>
    <row r="293" spans="96:96" x14ac:dyDescent="0.2">
      <c r="CR293" s="18"/>
    </row>
    <row r="294" spans="96:96" x14ac:dyDescent="0.2">
      <c r="CR294" s="18"/>
    </row>
    <row r="295" spans="96:96" x14ac:dyDescent="0.2">
      <c r="CR295" s="18"/>
    </row>
    <row r="296" spans="96:96" x14ac:dyDescent="0.2">
      <c r="CR296" s="18"/>
    </row>
    <row r="297" spans="96:96" x14ac:dyDescent="0.2">
      <c r="CR297" s="18"/>
    </row>
    <row r="298" spans="96:96" x14ac:dyDescent="0.2">
      <c r="CR298" s="18"/>
    </row>
    <row r="299" spans="96:96" x14ac:dyDescent="0.2">
      <c r="CR299" s="18"/>
    </row>
    <row r="300" spans="96:96" x14ac:dyDescent="0.2">
      <c r="CR300" s="18"/>
    </row>
    <row r="301" spans="96:96" x14ac:dyDescent="0.2">
      <c r="CR301" s="18"/>
    </row>
    <row r="302" spans="96:96" x14ac:dyDescent="0.2">
      <c r="CR302" s="18"/>
    </row>
    <row r="303" spans="96:96" x14ac:dyDescent="0.2">
      <c r="CR303" s="18"/>
    </row>
    <row r="304" spans="96:96" x14ac:dyDescent="0.2">
      <c r="CR304" s="18"/>
    </row>
    <row r="305" spans="96:96" x14ac:dyDescent="0.2">
      <c r="CR305" s="18"/>
    </row>
    <row r="306" spans="96:96" x14ac:dyDescent="0.2">
      <c r="CR306" s="18"/>
    </row>
    <row r="307" spans="96:96" x14ac:dyDescent="0.2">
      <c r="CR307" s="18"/>
    </row>
    <row r="308" spans="96:96" x14ac:dyDescent="0.2">
      <c r="CR308" s="18"/>
    </row>
    <row r="309" spans="96:96" x14ac:dyDescent="0.2">
      <c r="CR309" s="18"/>
    </row>
    <row r="310" spans="96:96" x14ac:dyDescent="0.2">
      <c r="CR310" s="18"/>
    </row>
    <row r="311" spans="96:96" x14ac:dyDescent="0.2">
      <c r="CR311" s="18"/>
    </row>
    <row r="312" spans="96:96" x14ac:dyDescent="0.2">
      <c r="CR312" s="18"/>
    </row>
    <row r="313" spans="96:96" x14ac:dyDescent="0.2">
      <c r="CR313" s="18"/>
    </row>
    <row r="314" spans="96:96" x14ac:dyDescent="0.2">
      <c r="CR314" s="18"/>
    </row>
    <row r="315" spans="96:96" x14ac:dyDescent="0.2">
      <c r="CR315" s="18"/>
    </row>
    <row r="316" spans="96:96" x14ac:dyDescent="0.2">
      <c r="CR316" s="18"/>
    </row>
    <row r="317" spans="96:96" x14ac:dyDescent="0.2">
      <c r="CR317" s="18"/>
    </row>
    <row r="318" spans="96:96" x14ac:dyDescent="0.2">
      <c r="CR318" s="18"/>
    </row>
    <row r="319" spans="96:96" x14ac:dyDescent="0.2">
      <c r="CR319" s="18"/>
    </row>
    <row r="320" spans="96:96" x14ac:dyDescent="0.2">
      <c r="CR320" s="18"/>
    </row>
    <row r="321" spans="96:96" x14ac:dyDescent="0.2">
      <c r="CR321" s="18"/>
    </row>
    <row r="322" spans="96:96" x14ac:dyDescent="0.2">
      <c r="CR322" s="18"/>
    </row>
    <row r="323" spans="96:96" x14ac:dyDescent="0.2">
      <c r="CR323" s="18"/>
    </row>
    <row r="324" spans="96:96" x14ac:dyDescent="0.2">
      <c r="CR324" s="18"/>
    </row>
    <row r="325" spans="96:96" x14ac:dyDescent="0.2">
      <c r="CR325" s="18"/>
    </row>
    <row r="326" spans="96:96" x14ac:dyDescent="0.2">
      <c r="CR326" s="18"/>
    </row>
    <row r="327" spans="96:96" x14ac:dyDescent="0.2">
      <c r="CR327" s="18"/>
    </row>
    <row r="328" spans="96:96" x14ac:dyDescent="0.2">
      <c r="CR328" s="18"/>
    </row>
    <row r="329" spans="96:96" x14ac:dyDescent="0.2">
      <c r="CR329" s="18"/>
    </row>
    <row r="330" spans="96:96" x14ac:dyDescent="0.2">
      <c r="CR330" s="18"/>
    </row>
    <row r="331" spans="96:96" x14ac:dyDescent="0.2">
      <c r="CR331" s="18"/>
    </row>
    <row r="332" spans="96:96" x14ac:dyDescent="0.2">
      <c r="CR332" s="18"/>
    </row>
    <row r="333" spans="96:96" x14ac:dyDescent="0.2">
      <c r="CR333" s="18"/>
    </row>
    <row r="334" spans="96:96" x14ac:dyDescent="0.2">
      <c r="CR334" s="18"/>
    </row>
    <row r="335" spans="96:96" x14ac:dyDescent="0.2">
      <c r="CR335" s="18"/>
    </row>
    <row r="336" spans="96:96" x14ac:dyDescent="0.2">
      <c r="CR336" s="18"/>
    </row>
    <row r="337" spans="96:96" x14ac:dyDescent="0.2">
      <c r="CR337" s="18"/>
    </row>
    <row r="338" spans="96:96" x14ac:dyDescent="0.2">
      <c r="CR338" s="18"/>
    </row>
    <row r="339" spans="96:96" x14ac:dyDescent="0.2">
      <c r="CR339" s="18"/>
    </row>
    <row r="340" spans="96:96" x14ac:dyDescent="0.2">
      <c r="CR340" s="18"/>
    </row>
    <row r="341" spans="96:96" x14ac:dyDescent="0.2">
      <c r="CR341" s="18"/>
    </row>
    <row r="342" spans="96:96" x14ac:dyDescent="0.2">
      <c r="CR342" s="18"/>
    </row>
    <row r="343" spans="96:96" x14ac:dyDescent="0.2">
      <c r="CR343" s="18"/>
    </row>
    <row r="344" spans="96:96" x14ac:dyDescent="0.2">
      <c r="CR344" s="18"/>
    </row>
    <row r="345" spans="96:96" x14ac:dyDescent="0.2">
      <c r="CR345" s="18"/>
    </row>
    <row r="346" spans="96:96" x14ac:dyDescent="0.2">
      <c r="CR346" s="18"/>
    </row>
    <row r="347" spans="96:96" x14ac:dyDescent="0.2">
      <c r="CR347" s="18"/>
    </row>
    <row r="348" spans="96:96" x14ac:dyDescent="0.2">
      <c r="CR348" s="18"/>
    </row>
    <row r="349" spans="96:96" x14ac:dyDescent="0.2">
      <c r="CR349" s="18"/>
    </row>
    <row r="350" spans="96:96" x14ac:dyDescent="0.2">
      <c r="CR350" s="18"/>
    </row>
    <row r="351" spans="96:96" x14ac:dyDescent="0.2">
      <c r="CR351" s="18"/>
    </row>
    <row r="352" spans="96:96" x14ac:dyDescent="0.2">
      <c r="CR352" s="18"/>
    </row>
    <row r="353" spans="96:96" x14ac:dyDescent="0.2">
      <c r="CR353" s="18"/>
    </row>
    <row r="354" spans="96:96" x14ac:dyDescent="0.2">
      <c r="CR354" s="18"/>
    </row>
    <row r="355" spans="96:96" x14ac:dyDescent="0.2">
      <c r="CR355" s="18"/>
    </row>
    <row r="356" spans="96:96" x14ac:dyDescent="0.2">
      <c r="CR356" s="18"/>
    </row>
    <row r="357" spans="96:96" x14ac:dyDescent="0.2">
      <c r="CR357" s="18"/>
    </row>
    <row r="358" spans="96:96" x14ac:dyDescent="0.2">
      <c r="CR358" s="18"/>
    </row>
    <row r="359" spans="96:96" x14ac:dyDescent="0.2">
      <c r="CR359" s="18"/>
    </row>
    <row r="360" spans="96:96" x14ac:dyDescent="0.2">
      <c r="CR360" s="18"/>
    </row>
    <row r="361" spans="96:96" x14ac:dyDescent="0.2">
      <c r="CR361" s="18"/>
    </row>
    <row r="362" spans="96:96" x14ac:dyDescent="0.2">
      <c r="CR362" s="18"/>
    </row>
    <row r="363" spans="96:96" x14ac:dyDescent="0.2">
      <c r="CR363" s="18"/>
    </row>
    <row r="364" spans="96:96" x14ac:dyDescent="0.2">
      <c r="CR364" s="18"/>
    </row>
    <row r="365" spans="96:96" x14ac:dyDescent="0.2">
      <c r="CR365" s="18"/>
    </row>
    <row r="366" spans="96:96" x14ac:dyDescent="0.2">
      <c r="CR366" s="18"/>
    </row>
    <row r="367" spans="96:96" x14ac:dyDescent="0.2">
      <c r="CR367" s="18"/>
    </row>
    <row r="368" spans="96:96" x14ac:dyDescent="0.2">
      <c r="CR368" s="18"/>
    </row>
    <row r="369" spans="96:96" x14ac:dyDescent="0.2">
      <c r="CR369" s="18"/>
    </row>
    <row r="370" spans="96:96" x14ac:dyDescent="0.2">
      <c r="CR370" s="18"/>
    </row>
    <row r="371" spans="96:96" x14ac:dyDescent="0.2">
      <c r="CR371" s="18"/>
    </row>
    <row r="372" spans="96:96" x14ac:dyDescent="0.2">
      <c r="CR372" s="18"/>
    </row>
    <row r="373" spans="96:96" x14ac:dyDescent="0.2">
      <c r="CR373" s="18"/>
    </row>
    <row r="374" spans="96:96" x14ac:dyDescent="0.2">
      <c r="CR374" s="18"/>
    </row>
    <row r="375" spans="96:96" x14ac:dyDescent="0.2">
      <c r="CR375" s="18"/>
    </row>
    <row r="376" spans="96:96" x14ac:dyDescent="0.2">
      <c r="CR376" s="18"/>
    </row>
    <row r="377" spans="96:96" x14ac:dyDescent="0.2">
      <c r="CR377" s="18"/>
    </row>
    <row r="378" spans="96:96" x14ac:dyDescent="0.2">
      <c r="CR378" s="18"/>
    </row>
    <row r="65250" spans="96:96" x14ac:dyDescent="0.2">
      <c r="CR65250" s="22" t="e">
        <f>#REF!</f>
        <v>#REF!</v>
      </c>
    </row>
    <row r="65251" spans="96:96" x14ac:dyDescent="0.2">
      <c r="CR65251" s="22" t="e">
        <f>#REF!</f>
        <v>#REF!</v>
      </c>
    </row>
    <row r="65252" spans="96:96" x14ac:dyDescent="0.2">
      <c r="CR65252" s="22" t="e">
        <f>#REF!</f>
        <v>#REF!</v>
      </c>
    </row>
    <row r="65253" spans="96:96" x14ac:dyDescent="0.2">
      <c r="CR65253" s="22" t="e">
        <f>#REF!</f>
        <v>#REF!</v>
      </c>
    </row>
    <row r="65254" spans="96:96" x14ac:dyDescent="0.2">
      <c r="CR65254" s="22" t="e">
        <f>#REF!</f>
        <v>#REF!</v>
      </c>
    </row>
  </sheetData>
  <sheetProtection password="CBEB" objects="1"/>
  <mergeCells count="250">
    <mergeCell ref="A1:AG1"/>
    <mergeCell ref="J4:K4"/>
    <mergeCell ref="AA4:AB4"/>
    <mergeCell ref="J5:K5"/>
    <mergeCell ref="AA5:AB5"/>
    <mergeCell ref="A3:P3"/>
    <mergeCell ref="L4:N4"/>
    <mergeCell ref="AC4:AE4"/>
    <mergeCell ref="A5:B5"/>
    <mergeCell ref="R5:S5"/>
    <mergeCell ref="A8:B8"/>
    <mergeCell ref="J8:K8"/>
    <mergeCell ref="A6:B6"/>
    <mergeCell ref="A7:B7"/>
    <mergeCell ref="AC10:AG10"/>
    <mergeCell ref="A11:B11"/>
    <mergeCell ref="R11:S11"/>
    <mergeCell ref="AC11:AG11"/>
    <mergeCell ref="F11:H11"/>
    <mergeCell ref="W11:Y11"/>
    <mergeCell ref="AA6:AB6"/>
    <mergeCell ref="J7:K7"/>
    <mergeCell ref="AA7:AB7"/>
    <mergeCell ref="J6:K6"/>
    <mergeCell ref="AA8:AB8"/>
    <mergeCell ref="I10:K10"/>
    <mergeCell ref="L10:P10"/>
    <mergeCell ref="Z10:AB10"/>
    <mergeCell ref="R6:S6"/>
    <mergeCell ref="R7:S7"/>
    <mergeCell ref="R8:S8"/>
    <mergeCell ref="L11:P11"/>
    <mergeCell ref="AC12:AG12"/>
    <mergeCell ref="A13:B13"/>
    <mergeCell ref="R13:S13"/>
    <mergeCell ref="AC13:AG13"/>
    <mergeCell ref="F12:H12"/>
    <mergeCell ref="F13:H13"/>
    <mergeCell ref="W13:Y13"/>
    <mergeCell ref="W12:Y12"/>
    <mergeCell ref="A12:B12"/>
    <mergeCell ref="L13:P13"/>
    <mergeCell ref="R12:S12"/>
    <mergeCell ref="L12:P12"/>
    <mergeCell ref="AC16:AG16"/>
    <mergeCell ref="A18:P18"/>
    <mergeCell ref="F16:H16"/>
    <mergeCell ref="L16:P16"/>
    <mergeCell ref="W16:Y16"/>
    <mergeCell ref="A14:B14"/>
    <mergeCell ref="R14:S14"/>
    <mergeCell ref="AC14:AG14"/>
    <mergeCell ref="A15:B15"/>
    <mergeCell ref="R15:S15"/>
    <mergeCell ref="AC15:AG15"/>
    <mergeCell ref="F14:H14"/>
    <mergeCell ref="F15:H15"/>
    <mergeCell ref="L15:P15"/>
    <mergeCell ref="W14:Y14"/>
    <mergeCell ref="L14:P14"/>
    <mergeCell ref="W15:Y15"/>
    <mergeCell ref="J23:K23"/>
    <mergeCell ref="AA23:AB23"/>
    <mergeCell ref="AA19:AB19"/>
    <mergeCell ref="J20:K20"/>
    <mergeCell ref="AA20:AB20"/>
    <mergeCell ref="J21:K21"/>
    <mergeCell ref="AA21:AB21"/>
    <mergeCell ref="J19:K19"/>
    <mergeCell ref="A16:B16"/>
    <mergeCell ref="R16:S16"/>
    <mergeCell ref="A20:B20"/>
    <mergeCell ref="A21:B21"/>
    <mergeCell ref="A22:B22"/>
    <mergeCell ref="A23:B23"/>
    <mergeCell ref="R20:S20"/>
    <mergeCell ref="R21:S21"/>
    <mergeCell ref="R22:S22"/>
    <mergeCell ref="R23:S23"/>
    <mergeCell ref="AA22:AB22"/>
    <mergeCell ref="AC28:AG28"/>
    <mergeCell ref="L27:P27"/>
    <mergeCell ref="L28:P28"/>
    <mergeCell ref="W27:Y27"/>
    <mergeCell ref="W28:Y28"/>
    <mergeCell ref="AC29:AG29"/>
    <mergeCell ref="AC25:AG25"/>
    <mergeCell ref="A26:B26"/>
    <mergeCell ref="R26:S26"/>
    <mergeCell ref="AC26:AG26"/>
    <mergeCell ref="L25:P25"/>
    <mergeCell ref="L26:P26"/>
    <mergeCell ref="W26:Y26"/>
    <mergeCell ref="F26:H26"/>
    <mergeCell ref="A27:B27"/>
    <mergeCell ref="A28:B28"/>
    <mergeCell ref="A37:B37"/>
    <mergeCell ref="J35:K35"/>
    <mergeCell ref="AA35:AB35"/>
    <mergeCell ref="L31:P31"/>
    <mergeCell ref="W31:Y31"/>
    <mergeCell ref="A38:B38"/>
    <mergeCell ref="A39:B39"/>
    <mergeCell ref="A42:B42"/>
    <mergeCell ref="R29:S29"/>
    <mergeCell ref="A30:B30"/>
    <mergeCell ref="R30:S30"/>
    <mergeCell ref="F30:H30"/>
    <mergeCell ref="A29:B29"/>
    <mergeCell ref="A31:B31"/>
    <mergeCell ref="F31:H31"/>
    <mergeCell ref="A36:B36"/>
    <mergeCell ref="R36:S36"/>
    <mergeCell ref="AA36:AB36"/>
    <mergeCell ref="AA37:AB37"/>
    <mergeCell ref="AA38:AB38"/>
    <mergeCell ref="AA39:AB39"/>
    <mergeCell ref="A46:B46"/>
    <mergeCell ref="R46:S46"/>
    <mergeCell ref="AC46:AG46"/>
    <mergeCell ref="L45:P45"/>
    <mergeCell ref="L46:P46"/>
    <mergeCell ref="W45:Y45"/>
    <mergeCell ref="W46:Y46"/>
    <mergeCell ref="F45:H45"/>
    <mergeCell ref="R43:S43"/>
    <mergeCell ref="AC43:AG43"/>
    <mergeCell ref="A44:B44"/>
    <mergeCell ref="R44:S44"/>
    <mergeCell ref="AC44:AG44"/>
    <mergeCell ref="L43:P43"/>
    <mergeCell ref="L44:P44"/>
    <mergeCell ref="W43:Y43"/>
    <mergeCell ref="W44:Y44"/>
    <mergeCell ref="F44:H44"/>
    <mergeCell ref="A43:B43"/>
    <mergeCell ref="A45:B45"/>
    <mergeCell ref="F46:H46"/>
    <mergeCell ref="F43:H43"/>
    <mergeCell ref="A58:B58"/>
    <mergeCell ref="R58:S58"/>
    <mergeCell ref="AA53:AB53"/>
    <mergeCell ref="AA54:AB54"/>
    <mergeCell ref="AA51:AB51"/>
    <mergeCell ref="AA52:AB52"/>
    <mergeCell ref="Z56:AB56"/>
    <mergeCell ref="AC56:AG56"/>
    <mergeCell ref="R47:S47"/>
    <mergeCell ref="AC47:AG47"/>
    <mergeCell ref="J50:K50"/>
    <mergeCell ref="AA50:AB50"/>
    <mergeCell ref="L47:P47"/>
    <mergeCell ref="W47:Y47"/>
    <mergeCell ref="A52:B52"/>
    <mergeCell ref="A47:B47"/>
    <mergeCell ref="F47:H47"/>
    <mergeCell ref="A51:B51"/>
    <mergeCell ref="F57:H57"/>
    <mergeCell ref="F58:H58"/>
    <mergeCell ref="A53:B53"/>
    <mergeCell ref="A54:B54"/>
    <mergeCell ref="R51:S51"/>
    <mergeCell ref="R52:S52"/>
    <mergeCell ref="W62:Y62"/>
    <mergeCell ref="A62:B62"/>
    <mergeCell ref="R62:S62"/>
    <mergeCell ref="R3:AG3"/>
    <mergeCell ref="R18:AG18"/>
    <mergeCell ref="A34:P34"/>
    <mergeCell ref="R34:AG34"/>
    <mergeCell ref="A49:P49"/>
    <mergeCell ref="R49:AG49"/>
    <mergeCell ref="I25:K25"/>
    <mergeCell ref="A60:B60"/>
    <mergeCell ref="A59:B59"/>
    <mergeCell ref="R59:S59"/>
    <mergeCell ref="L58:P58"/>
    <mergeCell ref="L59:P59"/>
    <mergeCell ref="R60:S60"/>
    <mergeCell ref="A61:B61"/>
    <mergeCell ref="R61:S61"/>
    <mergeCell ref="L60:P60"/>
    <mergeCell ref="L61:P61"/>
    <mergeCell ref="A57:B57"/>
    <mergeCell ref="R57:S57"/>
    <mergeCell ref="L57:P57"/>
    <mergeCell ref="I56:K56"/>
    <mergeCell ref="F62:H62"/>
    <mergeCell ref="L62:P62"/>
    <mergeCell ref="W61:Y61"/>
    <mergeCell ref="R45:S45"/>
    <mergeCell ref="AC19:AE19"/>
    <mergeCell ref="AC35:AE35"/>
    <mergeCell ref="J39:K39"/>
    <mergeCell ref="R37:S37"/>
    <mergeCell ref="R38:S38"/>
    <mergeCell ref="R39:S39"/>
    <mergeCell ref="J36:K36"/>
    <mergeCell ref="J38:K38"/>
    <mergeCell ref="J37:K37"/>
    <mergeCell ref="R31:S31"/>
    <mergeCell ref="A32:AG32"/>
    <mergeCell ref="F27:H27"/>
    <mergeCell ref="J22:K22"/>
    <mergeCell ref="L19:N19"/>
    <mergeCell ref="F28:H28"/>
    <mergeCell ref="F29:H29"/>
    <mergeCell ref="AC31:AG31"/>
    <mergeCell ref="AC61:AG61"/>
    <mergeCell ref="AC62:AG62"/>
    <mergeCell ref="W57:Y57"/>
    <mergeCell ref="AC30:AG30"/>
    <mergeCell ref="L29:P29"/>
    <mergeCell ref="L30:P30"/>
    <mergeCell ref="W29:Y29"/>
    <mergeCell ref="W30:Y30"/>
    <mergeCell ref="Z25:AB25"/>
    <mergeCell ref="F59:H59"/>
    <mergeCell ref="F60:H60"/>
    <mergeCell ref="F61:H61"/>
    <mergeCell ref="W58:Y58"/>
    <mergeCell ref="W59:Y59"/>
    <mergeCell ref="AC57:AG57"/>
    <mergeCell ref="AC58:AG58"/>
    <mergeCell ref="AC59:AG59"/>
    <mergeCell ref="AC60:AG60"/>
    <mergeCell ref="W60:Y60"/>
    <mergeCell ref="L56:P56"/>
    <mergeCell ref="F42:H42"/>
    <mergeCell ref="I41:K41"/>
    <mergeCell ref="L41:P41"/>
    <mergeCell ref="Z41:AB41"/>
    <mergeCell ref="R27:S27"/>
    <mergeCell ref="AC27:AG27"/>
    <mergeCell ref="R28:S28"/>
    <mergeCell ref="R53:S53"/>
    <mergeCell ref="R54:S54"/>
    <mergeCell ref="J53:K53"/>
    <mergeCell ref="J51:K51"/>
    <mergeCell ref="J52:K52"/>
    <mergeCell ref="J54:K54"/>
    <mergeCell ref="L35:N35"/>
    <mergeCell ref="L50:N50"/>
    <mergeCell ref="AC50:AE50"/>
    <mergeCell ref="AC45:AG45"/>
    <mergeCell ref="R42:S42"/>
    <mergeCell ref="AC42:AG42"/>
    <mergeCell ref="L42:P42"/>
    <mergeCell ref="W42:Y42"/>
    <mergeCell ref="AC41:AG41"/>
  </mergeCells>
  <phoneticPr fontId="0" type="noConversion"/>
  <pageMargins left="0.47" right="0.19685039370078741" top="0.2" bottom="0.19685039370078741" header="0.2" footer="0"/>
  <pageSetup paperSize="9" scale="136" fitToWidth="2" fitToHeight="0" orientation="landscape" horizontalDpi="360" r:id="rId1"/>
  <headerFooter alignWithMargins="0"/>
  <rowBreaks count="1" manualBreakCount="1">
    <brk id="31" max="32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7"/>
  <sheetViews>
    <sheetView tabSelected="1" view="pageBreakPreview" zoomScale="115" zoomScaleNormal="75" zoomScaleSheetLayoutView="115" workbookViewId="0">
      <selection activeCell="S10" sqref="S10"/>
    </sheetView>
  </sheetViews>
  <sheetFormatPr defaultColWidth="8" defaultRowHeight="11.25" x14ac:dyDescent="0.2"/>
  <cols>
    <col min="1" max="1" width="4" style="3" bestFit="1" customWidth="1"/>
    <col min="2" max="2" width="12.85546875" style="7" bestFit="1" customWidth="1"/>
    <col min="3" max="9" width="11.140625" style="5" customWidth="1"/>
    <col min="10" max="16" width="11.140625" style="5" hidden="1" customWidth="1"/>
    <col min="17" max="18" width="8" style="8" hidden="1" customWidth="1"/>
    <col min="19" max="96" width="8" style="8" customWidth="1"/>
    <col min="97" max="16384" width="8" style="3"/>
  </cols>
  <sheetData>
    <row r="1" spans="1:40" s="16" customFormat="1" ht="33.75" x14ac:dyDescent="0.5">
      <c r="A1" s="375" t="s">
        <v>457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348"/>
      <c r="AE1" s="63"/>
      <c r="AF1" s="181"/>
      <c r="AG1" s="237"/>
      <c r="AH1" s="60"/>
      <c r="AI1" s="60"/>
      <c r="AJ1" s="53"/>
      <c r="AK1" s="17"/>
      <c r="AL1" s="17"/>
      <c r="AM1" s="17"/>
      <c r="AN1" s="17"/>
    </row>
    <row r="2" spans="1:40" ht="26.25" hidden="1" x14ac:dyDescent="0.4">
      <c r="A2" s="571" t="s">
        <v>242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8"/>
      <c r="M2" s="8"/>
      <c r="N2" s="8"/>
      <c r="O2" s="8"/>
      <c r="P2" s="8"/>
    </row>
    <row r="3" spans="1:40" ht="8.25" customHeight="1" thickBot="1" x14ac:dyDescent="0.35">
      <c r="A3" s="279"/>
      <c r="B3" s="280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</row>
    <row r="4" spans="1:40" s="122" customFormat="1" ht="85.5" customHeight="1" thickTop="1" thickBot="1" x14ac:dyDescent="0.25">
      <c r="A4" s="121"/>
      <c r="B4" s="123"/>
      <c r="C4" s="374" t="s">
        <v>451</v>
      </c>
      <c r="D4" s="374" t="s">
        <v>452</v>
      </c>
      <c r="E4" s="374" t="s">
        <v>453</v>
      </c>
      <c r="F4" s="374" t="s">
        <v>454</v>
      </c>
      <c r="G4" s="374" t="s">
        <v>455</v>
      </c>
      <c r="H4" s="374" t="s">
        <v>456</v>
      </c>
      <c r="I4" s="374" t="s">
        <v>450</v>
      </c>
      <c r="J4" s="374" t="s">
        <v>431</v>
      </c>
      <c r="K4" s="374" t="s">
        <v>432</v>
      </c>
      <c r="L4" s="374" t="s">
        <v>433</v>
      </c>
      <c r="M4" s="374" t="s">
        <v>434</v>
      </c>
      <c r="N4" s="374" t="s">
        <v>435</v>
      </c>
      <c r="O4" s="374" t="str">
        <f>START!B59</f>
        <v>Scheids 13</v>
      </c>
      <c r="P4" s="374" t="str">
        <f>START!B60</f>
        <v>Scheids 14</v>
      </c>
    </row>
    <row r="5" spans="1:40" s="118" customFormat="1" ht="18" customHeight="1" x14ac:dyDescent="0.2">
      <c r="A5" s="313">
        <v>1</v>
      </c>
      <c r="B5" s="119" t="str">
        <f>START!B2</f>
        <v>10:30 - 10:45 uur</v>
      </c>
      <c r="C5" s="120" t="s">
        <v>243</v>
      </c>
      <c r="D5" s="120" t="s">
        <v>244</v>
      </c>
      <c r="E5" s="120" t="s">
        <v>245</v>
      </c>
      <c r="F5" s="120" t="s">
        <v>246</v>
      </c>
      <c r="G5" s="120" t="s">
        <v>248</v>
      </c>
      <c r="H5" s="120" t="s">
        <v>247</v>
      </c>
      <c r="I5" s="120" t="s">
        <v>16</v>
      </c>
      <c r="J5" s="120" t="s">
        <v>16</v>
      </c>
      <c r="K5" s="120" t="s">
        <v>16</v>
      </c>
      <c r="L5" s="120" t="s">
        <v>16</v>
      </c>
      <c r="M5" s="120" t="s">
        <v>16</v>
      </c>
      <c r="N5" s="120" t="s">
        <v>16</v>
      </c>
      <c r="O5" s="120"/>
      <c r="P5" s="120"/>
    </row>
    <row r="6" spans="1:40" s="118" customFormat="1" ht="18" customHeight="1" x14ac:dyDescent="0.2">
      <c r="A6" s="314">
        <v>2</v>
      </c>
      <c r="B6" s="118" t="str">
        <f>START!B3</f>
        <v>10:45 - 11:00 uur</v>
      </c>
      <c r="C6" s="120" t="s">
        <v>243</v>
      </c>
      <c r="D6" s="120" t="s">
        <v>244</v>
      </c>
      <c r="E6" s="120" t="s">
        <v>245</v>
      </c>
      <c r="F6" s="120" t="s">
        <v>246</v>
      </c>
      <c r="G6" s="120" t="s">
        <v>248</v>
      </c>
      <c r="H6" s="120" t="s">
        <v>247</v>
      </c>
      <c r="I6" s="120" t="s">
        <v>16</v>
      </c>
      <c r="J6" s="120" t="s">
        <v>16</v>
      </c>
      <c r="K6" s="120" t="s">
        <v>16</v>
      </c>
      <c r="L6" s="120" t="s">
        <v>16</v>
      </c>
      <c r="M6" s="120" t="s">
        <v>16</v>
      </c>
      <c r="N6" s="120" t="s">
        <v>16</v>
      </c>
      <c r="O6" s="120"/>
      <c r="P6" s="120"/>
    </row>
    <row r="7" spans="1:40" s="118" customFormat="1" ht="18" customHeight="1" x14ac:dyDescent="0.2">
      <c r="A7" s="314">
        <v>3</v>
      </c>
      <c r="B7" s="118" t="str">
        <f>START!B4</f>
        <v>11:00 - 11:15 uur</v>
      </c>
      <c r="C7" s="120" t="s">
        <v>243</v>
      </c>
      <c r="D7" s="120" t="s">
        <v>244</v>
      </c>
      <c r="E7" s="120" t="s">
        <v>245</v>
      </c>
      <c r="F7" s="120" t="s">
        <v>246</v>
      </c>
      <c r="G7" s="120" t="s">
        <v>248</v>
      </c>
      <c r="H7" s="120" t="s">
        <v>247</v>
      </c>
      <c r="I7" s="120" t="s">
        <v>16</v>
      </c>
      <c r="J7" s="120" t="s">
        <v>244</v>
      </c>
      <c r="K7" s="120" t="s">
        <v>245</v>
      </c>
      <c r="L7" s="120" t="s">
        <v>246</v>
      </c>
      <c r="M7" s="120" t="s">
        <v>248</v>
      </c>
      <c r="N7" s="120" t="s">
        <v>247</v>
      </c>
      <c r="O7" s="120" t="s">
        <v>16</v>
      </c>
      <c r="P7" s="120" t="s">
        <v>16</v>
      </c>
    </row>
    <row r="8" spans="1:40" s="118" customFormat="1" ht="18" customHeight="1" x14ac:dyDescent="0.2">
      <c r="A8" s="314">
        <v>4</v>
      </c>
      <c r="B8" s="119" t="str">
        <f>START!B5</f>
        <v>11:15 - 11:30 uur</v>
      </c>
      <c r="C8" s="120" t="s">
        <v>243</v>
      </c>
      <c r="D8" s="120" t="s">
        <v>244</v>
      </c>
      <c r="E8" s="120" t="s">
        <v>245</v>
      </c>
      <c r="F8" s="120" t="s">
        <v>246</v>
      </c>
      <c r="G8" s="120" t="s">
        <v>248</v>
      </c>
      <c r="H8" s="120" t="s">
        <v>247</v>
      </c>
      <c r="I8" s="120" t="s">
        <v>16</v>
      </c>
      <c r="J8" s="120" t="s">
        <v>244</v>
      </c>
      <c r="K8" s="120" t="s">
        <v>245</v>
      </c>
      <c r="L8" s="120" t="s">
        <v>246</v>
      </c>
      <c r="M8" s="120" t="s">
        <v>248</v>
      </c>
      <c r="N8" s="120" t="s">
        <v>247</v>
      </c>
      <c r="O8" s="120"/>
      <c r="P8" s="120"/>
    </row>
    <row r="9" spans="1:40" s="118" customFormat="1" ht="18" customHeight="1" x14ac:dyDescent="0.2">
      <c r="A9" s="314">
        <v>5</v>
      </c>
      <c r="B9" s="119" t="str">
        <f>START!B6</f>
        <v>11:30 - 11:45 uur</v>
      </c>
      <c r="C9" s="120" t="s">
        <v>243</v>
      </c>
      <c r="D9" s="120" t="s">
        <v>244</v>
      </c>
      <c r="E9" s="120" t="s">
        <v>245</v>
      </c>
      <c r="F9" s="120" t="s">
        <v>246</v>
      </c>
      <c r="G9" s="120" t="s">
        <v>248</v>
      </c>
      <c r="H9" s="120" t="s">
        <v>247</v>
      </c>
      <c r="I9" s="120" t="s">
        <v>16</v>
      </c>
      <c r="J9" s="120" t="s">
        <v>16</v>
      </c>
      <c r="K9" s="120" t="s">
        <v>16</v>
      </c>
      <c r="L9" s="120" t="s">
        <v>16</v>
      </c>
      <c r="M9" s="120" t="s">
        <v>16</v>
      </c>
      <c r="N9" s="120" t="s">
        <v>16</v>
      </c>
      <c r="O9" s="120" t="s">
        <v>243</v>
      </c>
      <c r="P9" s="120" t="s">
        <v>244</v>
      </c>
    </row>
    <row r="10" spans="1:40" s="118" customFormat="1" ht="18" customHeight="1" x14ac:dyDescent="0.2">
      <c r="A10" s="314">
        <v>6</v>
      </c>
      <c r="B10" s="118" t="str">
        <f>START!B7</f>
        <v>11:45 - 12:00 uur</v>
      </c>
      <c r="C10" s="120" t="s">
        <v>243</v>
      </c>
      <c r="D10" s="120" t="s">
        <v>244</v>
      </c>
      <c r="E10" s="120" t="s">
        <v>245</v>
      </c>
      <c r="F10" s="120" t="s">
        <v>246</v>
      </c>
      <c r="G10" s="120" t="s">
        <v>248</v>
      </c>
      <c r="H10" s="120" t="s">
        <v>247</v>
      </c>
      <c r="I10" s="120" t="s">
        <v>16</v>
      </c>
      <c r="J10" s="120" t="s">
        <v>16</v>
      </c>
      <c r="K10" s="120" t="s">
        <v>16</v>
      </c>
      <c r="L10" s="120" t="s">
        <v>16</v>
      </c>
      <c r="M10" s="120" t="s">
        <v>16</v>
      </c>
      <c r="N10" s="120" t="s">
        <v>16</v>
      </c>
      <c r="O10" s="120" t="s">
        <v>243</v>
      </c>
      <c r="P10" s="120" t="s">
        <v>244</v>
      </c>
    </row>
    <row r="11" spans="1:40" s="118" customFormat="1" ht="18" customHeight="1" x14ac:dyDescent="0.2">
      <c r="A11" s="314">
        <v>7</v>
      </c>
      <c r="B11" s="118" t="str">
        <f>START!B8</f>
        <v>12:00 - 12:15 uur</v>
      </c>
      <c r="C11" s="120" t="s">
        <v>243</v>
      </c>
      <c r="D11" s="120" t="s">
        <v>244</v>
      </c>
      <c r="E11" s="120" t="s">
        <v>245</v>
      </c>
      <c r="F11" s="120" t="s">
        <v>246</v>
      </c>
      <c r="G11" s="120" t="s">
        <v>248</v>
      </c>
      <c r="H11" s="120" t="s">
        <v>247</v>
      </c>
      <c r="I11" s="120" t="s">
        <v>16</v>
      </c>
      <c r="J11" s="120" t="s">
        <v>244</v>
      </c>
      <c r="K11" s="120" t="s">
        <v>245</v>
      </c>
      <c r="L11" s="120" t="s">
        <v>246</v>
      </c>
      <c r="M11" s="120" t="s">
        <v>248</v>
      </c>
      <c r="N11" s="120" t="s">
        <v>247</v>
      </c>
      <c r="O11" s="120" t="s">
        <v>16</v>
      </c>
      <c r="P11" s="120" t="s">
        <v>16</v>
      </c>
    </row>
    <row r="12" spans="1:40" s="118" customFormat="1" ht="18" customHeight="1" x14ac:dyDescent="0.2">
      <c r="A12" s="314">
        <v>8</v>
      </c>
      <c r="B12" s="119" t="str">
        <f>START!B9</f>
        <v>12:15 - 12:30 uur</v>
      </c>
      <c r="C12" s="120" t="s">
        <v>243</v>
      </c>
      <c r="D12" s="120" t="s">
        <v>244</v>
      </c>
      <c r="E12" s="120" t="s">
        <v>245</v>
      </c>
      <c r="F12" s="120" t="s">
        <v>246</v>
      </c>
      <c r="G12" s="120" t="s">
        <v>248</v>
      </c>
      <c r="H12" s="120" t="s">
        <v>247</v>
      </c>
      <c r="I12" s="120" t="s">
        <v>16</v>
      </c>
      <c r="J12" s="120" t="s">
        <v>244</v>
      </c>
      <c r="K12" s="120" t="s">
        <v>245</v>
      </c>
      <c r="L12" s="120" t="s">
        <v>246</v>
      </c>
      <c r="M12" s="120" t="s">
        <v>248</v>
      </c>
      <c r="N12" s="120" t="s">
        <v>247</v>
      </c>
      <c r="O12" s="120" t="s">
        <v>16</v>
      </c>
      <c r="P12" s="120" t="s">
        <v>16</v>
      </c>
    </row>
    <row r="13" spans="1:40" s="118" customFormat="1" ht="18" customHeight="1" x14ac:dyDescent="0.2">
      <c r="A13" s="314">
        <v>9</v>
      </c>
      <c r="B13" s="119" t="str">
        <f>START!B10</f>
        <v>12:30 - 12:45 uur</v>
      </c>
      <c r="C13" s="120" t="s">
        <v>243</v>
      </c>
      <c r="D13" s="120" t="s">
        <v>244</v>
      </c>
      <c r="E13" s="120" t="s">
        <v>245</v>
      </c>
      <c r="F13" s="120" t="s">
        <v>246</v>
      </c>
      <c r="G13" s="120" t="s">
        <v>248</v>
      </c>
      <c r="H13" s="120" t="s">
        <v>247</v>
      </c>
      <c r="I13" s="120" t="s">
        <v>16</v>
      </c>
      <c r="J13" s="120" t="s">
        <v>16</v>
      </c>
      <c r="K13" s="120" t="s">
        <v>16</v>
      </c>
      <c r="L13" s="120" t="s">
        <v>16</v>
      </c>
    </row>
    <row r="14" spans="1:40" s="118" customFormat="1" ht="18" customHeight="1" x14ac:dyDescent="0.2">
      <c r="A14" s="314">
        <v>10</v>
      </c>
      <c r="B14" s="118" t="str">
        <f>START!B11</f>
        <v>12:45 - 13:00 uur</v>
      </c>
      <c r="C14" s="120" t="s">
        <v>243</v>
      </c>
      <c r="D14" s="120" t="s">
        <v>244</v>
      </c>
      <c r="E14" s="120" t="s">
        <v>245</v>
      </c>
      <c r="F14" s="120" t="s">
        <v>246</v>
      </c>
      <c r="G14" s="120" t="s">
        <v>248</v>
      </c>
      <c r="H14" s="120" t="s">
        <v>247</v>
      </c>
      <c r="I14" s="120" t="s">
        <v>16</v>
      </c>
      <c r="J14" s="120" t="s">
        <v>16</v>
      </c>
      <c r="K14" s="120" t="s">
        <v>16</v>
      </c>
      <c r="L14" s="120" t="s">
        <v>16</v>
      </c>
    </row>
    <row r="15" spans="1:40" s="118" customFormat="1" ht="18" customHeight="1" x14ac:dyDescent="0.2">
      <c r="A15" s="314">
        <v>11</v>
      </c>
      <c r="B15" s="118" t="str">
        <f>START!B12</f>
        <v>13:00 - 13:15 uur</v>
      </c>
      <c r="C15" s="120" t="s">
        <v>243</v>
      </c>
      <c r="D15" s="120" t="s">
        <v>244</v>
      </c>
      <c r="E15" s="120" t="s">
        <v>245</v>
      </c>
      <c r="F15" s="120" t="s">
        <v>246</v>
      </c>
      <c r="G15" s="120" t="s">
        <v>248</v>
      </c>
      <c r="H15" s="120" t="s">
        <v>247</v>
      </c>
      <c r="I15" s="120" t="s">
        <v>16</v>
      </c>
      <c r="J15" s="120" t="s">
        <v>244</v>
      </c>
      <c r="K15" s="120" t="s">
        <v>245</v>
      </c>
      <c r="L15" s="120" t="s">
        <v>246</v>
      </c>
      <c r="M15" s="120" t="s">
        <v>248</v>
      </c>
      <c r="N15" s="120" t="s">
        <v>247</v>
      </c>
      <c r="O15" s="120" t="s">
        <v>16</v>
      </c>
      <c r="P15" s="120" t="s">
        <v>16</v>
      </c>
    </row>
    <row r="16" spans="1:40" s="118" customFormat="1" ht="18" customHeight="1" x14ac:dyDescent="0.2">
      <c r="A16" s="314">
        <v>12</v>
      </c>
      <c r="B16" s="118" t="str">
        <f>START!B13</f>
        <v>13:15 - 13:30 uur</v>
      </c>
      <c r="C16" s="120" t="s">
        <v>243</v>
      </c>
      <c r="D16" s="120" t="s">
        <v>244</v>
      </c>
      <c r="E16" s="120" t="s">
        <v>245</v>
      </c>
      <c r="F16" s="120" t="s">
        <v>246</v>
      </c>
      <c r="G16" s="120" t="s">
        <v>248</v>
      </c>
      <c r="H16" s="120" t="s">
        <v>247</v>
      </c>
      <c r="I16" s="120" t="s">
        <v>16</v>
      </c>
      <c r="J16" s="120" t="s">
        <v>244</v>
      </c>
      <c r="K16" s="120" t="s">
        <v>245</v>
      </c>
      <c r="L16" s="120" t="s">
        <v>246</v>
      </c>
      <c r="M16" s="120" t="s">
        <v>248</v>
      </c>
      <c r="N16" s="120" t="s">
        <v>247</v>
      </c>
      <c r="O16" s="120" t="s">
        <v>16</v>
      </c>
      <c r="P16" s="120" t="s">
        <v>16</v>
      </c>
    </row>
    <row r="17" spans="1:96" s="118" customFormat="1" ht="18" customHeight="1" x14ac:dyDescent="0.2">
      <c r="A17" s="314">
        <v>13</v>
      </c>
      <c r="B17" s="118" t="str">
        <f>START!B14</f>
        <v>13:30 - 13:45 uur</v>
      </c>
      <c r="C17" s="120" t="s">
        <v>243</v>
      </c>
      <c r="D17" s="120" t="s">
        <v>244</v>
      </c>
      <c r="E17" s="120" t="s">
        <v>245</v>
      </c>
      <c r="F17" s="120" t="s">
        <v>246</v>
      </c>
      <c r="G17" s="120" t="s">
        <v>248</v>
      </c>
      <c r="H17" s="120" t="s">
        <v>247</v>
      </c>
      <c r="I17" s="120" t="s">
        <v>16</v>
      </c>
      <c r="J17" s="120" t="s">
        <v>16</v>
      </c>
      <c r="K17" s="120" t="s">
        <v>16</v>
      </c>
      <c r="L17" s="120" t="s">
        <v>16</v>
      </c>
      <c r="M17" s="120" t="s">
        <v>16</v>
      </c>
      <c r="N17" s="120" t="s">
        <v>16</v>
      </c>
    </row>
    <row r="18" spans="1:96" s="118" customFormat="1" ht="18" customHeight="1" x14ac:dyDescent="0.2">
      <c r="A18" s="314">
        <v>14</v>
      </c>
      <c r="B18" s="118" t="str">
        <f>START!B15</f>
        <v>13:45 - 14.00 uur</v>
      </c>
      <c r="C18" s="120" t="s">
        <v>243</v>
      </c>
      <c r="D18" s="120" t="s">
        <v>244</v>
      </c>
      <c r="E18" s="120" t="s">
        <v>245</v>
      </c>
      <c r="F18" s="120" t="s">
        <v>246</v>
      </c>
      <c r="G18" s="120" t="s">
        <v>248</v>
      </c>
      <c r="H18" s="120" t="s">
        <v>247</v>
      </c>
      <c r="I18" s="120" t="s">
        <v>16</v>
      </c>
      <c r="J18" s="120" t="s">
        <v>16</v>
      </c>
      <c r="K18" s="120" t="s">
        <v>16</v>
      </c>
      <c r="L18" s="120" t="s">
        <v>16</v>
      </c>
      <c r="M18" s="120" t="s">
        <v>16</v>
      </c>
      <c r="N18" s="120" t="s">
        <v>16</v>
      </c>
    </row>
    <row r="19" spans="1:96" s="118" customFormat="1" ht="18" customHeight="1" x14ac:dyDescent="0.2">
      <c r="A19" s="314">
        <v>15</v>
      </c>
      <c r="B19" s="118" t="str">
        <f>START!B16</f>
        <v>14:00 - 14:15 uur</v>
      </c>
      <c r="C19" s="120" t="s">
        <v>243</v>
      </c>
      <c r="D19" s="120" t="s">
        <v>244</v>
      </c>
      <c r="E19" s="120" t="s">
        <v>245</v>
      </c>
      <c r="F19" s="120" t="s">
        <v>246</v>
      </c>
      <c r="G19" s="120" t="s">
        <v>248</v>
      </c>
      <c r="H19" s="120" t="s">
        <v>247</v>
      </c>
      <c r="I19" s="120" t="s">
        <v>16</v>
      </c>
      <c r="J19" s="120" t="s">
        <v>244</v>
      </c>
      <c r="K19" s="120" t="s">
        <v>245</v>
      </c>
      <c r="L19" s="120" t="s">
        <v>246</v>
      </c>
      <c r="M19" s="120" t="s">
        <v>248</v>
      </c>
      <c r="N19" s="120" t="s">
        <v>247</v>
      </c>
      <c r="O19" s="120" t="s">
        <v>16</v>
      </c>
      <c r="P19" s="120" t="s">
        <v>16</v>
      </c>
    </row>
    <row r="20" spans="1:96" s="118" customFormat="1" ht="18" customHeight="1" x14ac:dyDescent="0.2">
      <c r="A20" s="314">
        <v>16</v>
      </c>
      <c r="B20" s="118" t="str">
        <f>START!B17</f>
        <v>14:15 - 14:30 uur</v>
      </c>
      <c r="C20" s="120" t="s">
        <v>243</v>
      </c>
      <c r="D20" s="120" t="s">
        <v>244</v>
      </c>
      <c r="E20" s="120" t="s">
        <v>245</v>
      </c>
      <c r="F20" s="120" t="s">
        <v>246</v>
      </c>
      <c r="G20" s="120" t="s">
        <v>248</v>
      </c>
      <c r="H20" s="120" t="s">
        <v>247</v>
      </c>
      <c r="I20" s="120" t="s">
        <v>16</v>
      </c>
      <c r="J20" s="120" t="s">
        <v>244</v>
      </c>
      <c r="K20" s="120" t="s">
        <v>245</v>
      </c>
      <c r="L20" s="120" t="s">
        <v>246</v>
      </c>
      <c r="M20" s="120" t="s">
        <v>248</v>
      </c>
      <c r="N20" s="120" t="s">
        <v>247</v>
      </c>
      <c r="O20" s="120" t="s">
        <v>16</v>
      </c>
      <c r="P20" s="120" t="s">
        <v>16</v>
      </c>
    </row>
    <row r="21" spans="1:96" s="118" customFormat="1" ht="18" customHeight="1" x14ac:dyDescent="0.2">
      <c r="A21" s="314">
        <v>17</v>
      </c>
      <c r="B21" s="118" t="str">
        <f>START!B18</f>
        <v>14:30 - 14:45 uur</v>
      </c>
      <c r="C21" s="120" t="s">
        <v>243</v>
      </c>
      <c r="D21" s="120" t="s">
        <v>244</v>
      </c>
      <c r="E21" s="120" t="s">
        <v>245</v>
      </c>
      <c r="F21" s="120" t="s">
        <v>246</v>
      </c>
      <c r="G21" s="120" t="s">
        <v>248</v>
      </c>
      <c r="H21" s="120" t="s">
        <v>247</v>
      </c>
      <c r="I21" s="120" t="s">
        <v>16</v>
      </c>
      <c r="J21" s="120" t="s">
        <v>16</v>
      </c>
      <c r="K21" s="120" t="s">
        <v>16</v>
      </c>
      <c r="L21" s="120" t="s">
        <v>16</v>
      </c>
      <c r="M21" s="120" t="s">
        <v>16</v>
      </c>
      <c r="N21" s="120" t="s">
        <v>16</v>
      </c>
      <c r="O21" s="120" t="s">
        <v>16</v>
      </c>
      <c r="P21" s="120" t="s">
        <v>16</v>
      </c>
    </row>
    <row r="22" spans="1:96" s="118" customFormat="1" ht="18" customHeight="1" x14ac:dyDescent="0.2">
      <c r="A22" s="314">
        <v>18</v>
      </c>
      <c r="B22" s="118" t="str">
        <f>START!B19</f>
        <v>14:45 - 15.00 uur</v>
      </c>
      <c r="C22" s="120" t="s">
        <v>243</v>
      </c>
      <c r="D22" s="120" t="s">
        <v>244</v>
      </c>
      <c r="E22" s="120" t="s">
        <v>245</v>
      </c>
      <c r="F22" s="120" t="s">
        <v>246</v>
      </c>
      <c r="G22" s="120" t="s">
        <v>248</v>
      </c>
      <c r="H22" s="120" t="s">
        <v>247</v>
      </c>
      <c r="I22" s="120" t="s">
        <v>16</v>
      </c>
      <c r="J22" s="120" t="s">
        <v>16</v>
      </c>
      <c r="K22" s="120" t="s">
        <v>16</v>
      </c>
      <c r="L22" s="120" t="s">
        <v>16</v>
      </c>
      <c r="M22" s="120" t="s">
        <v>16</v>
      </c>
      <c r="N22" s="120" t="s">
        <v>16</v>
      </c>
      <c r="O22" s="120" t="s">
        <v>16</v>
      </c>
      <c r="P22" s="120" t="s">
        <v>16</v>
      </c>
    </row>
    <row r="23" spans="1:96" s="118" customFormat="1" ht="18" customHeight="1" x14ac:dyDescent="0.2">
      <c r="A23" s="314">
        <v>19</v>
      </c>
      <c r="B23" s="118" t="str">
        <f>START!B20</f>
        <v>15:00 - 15:20 uur</v>
      </c>
      <c r="C23" s="120" t="s">
        <v>243</v>
      </c>
      <c r="D23" s="120" t="s">
        <v>244</v>
      </c>
      <c r="E23" s="120" t="s">
        <v>245</v>
      </c>
      <c r="F23" s="120" t="s">
        <v>246</v>
      </c>
      <c r="G23" s="120" t="s">
        <v>248</v>
      </c>
      <c r="H23" s="120" t="s">
        <v>247</v>
      </c>
      <c r="I23" s="120" t="s">
        <v>16</v>
      </c>
      <c r="J23" s="120" t="s">
        <v>244</v>
      </c>
      <c r="K23" s="120" t="s">
        <v>245</v>
      </c>
      <c r="L23" s="120" t="s">
        <v>246</v>
      </c>
      <c r="M23" s="120" t="s">
        <v>248</v>
      </c>
      <c r="N23" s="120" t="s">
        <v>247</v>
      </c>
    </row>
    <row r="24" spans="1:96" s="15" customFormat="1" ht="18" customHeight="1" x14ac:dyDescent="0.2">
      <c r="A24" s="314">
        <v>20</v>
      </c>
      <c r="B24" s="118" t="str">
        <f>START!B21</f>
        <v>15:20 - 15:40 uur</v>
      </c>
      <c r="C24" s="120" t="s">
        <v>243</v>
      </c>
      <c r="D24" s="120" t="s">
        <v>244</v>
      </c>
      <c r="E24" s="120" t="s">
        <v>245</v>
      </c>
      <c r="F24" s="120" t="s">
        <v>246</v>
      </c>
      <c r="G24" s="120" t="s">
        <v>248</v>
      </c>
      <c r="H24" s="120" t="s">
        <v>247</v>
      </c>
      <c r="I24" s="120" t="s">
        <v>16</v>
      </c>
      <c r="J24" s="120" t="s">
        <v>244</v>
      </c>
      <c r="K24" s="120" t="s">
        <v>245</v>
      </c>
      <c r="L24" s="120" t="s">
        <v>246</v>
      </c>
      <c r="M24" s="120" t="s">
        <v>248</v>
      </c>
      <c r="N24" s="120" t="s">
        <v>247</v>
      </c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8"/>
      <c r="CE24" s="118"/>
      <c r="CF24" s="118"/>
      <c r="CG24" s="118"/>
      <c r="CH24" s="118"/>
      <c r="CI24" s="118"/>
      <c r="CJ24" s="118"/>
      <c r="CK24" s="118"/>
      <c r="CL24" s="118"/>
      <c r="CM24" s="118"/>
      <c r="CN24" s="118"/>
      <c r="CO24" s="118"/>
      <c r="CP24" s="118"/>
      <c r="CQ24" s="118"/>
      <c r="CR24" s="118"/>
    </row>
    <row r="25" spans="1:96" s="118" customFormat="1" ht="18" customHeight="1" x14ac:dyDescent="0.2">
      <c r="A25" s="314">
        <v>21</v>
      </c>
      <c r="B25" s="118" t="str">
        <f>START!B22</f>
        <v>15:40 - 16:00 uur</v>
      </c>
      <c r="C25" s="120" t="s">
        <v>243</v>
      </c>
      <c r="D25" s="120" t="s">
        <v>244</v>
      </c>
      <c r="E25" s="120" t="s">
        <v>245</v>
      </c>
      <c r="F25" s="120" t="s">
        <v>246</v>
      </c>
      <c r="G25" s="120" t="s">
        <v>248</v>
      </c>
      <c r="H25" s="120" t="s">
        <v>247</v>
      </c>
      <c r="I25" s="120" t="s">
        <v>16</v>
      </c>
      <c r="J25" s="120" t="s">
        <v>16</v>
      </c>
      <c r="K25" s="120" t="s">
        <v>16</v>
      </c>
      <c r="L25" s="120" t="s">
        <v>16</v>
      </c>
      <c r="M25" s="120" t="s">
        <v>16</v>
      </c>
      <c r="N25" s="120" t="s">
        <v>16</v>
      </c>
      <c r="O25" s="120" t="s">
        <v>16</v>
      </c>
      <c r="P25" s="120" t="s">
        <v>16</v>
      </c>
    </row>
    <row r="26" spans="1:96" s="118" customFormat="1" ht="18" customHeight="1" x14ac:dyDescent="0.2">
      <c r="A26" s="314">
        <v>22</v>
      </c>
      <c r="B26" s="118" t="str">
        <f>START!B23</f>
        <v>16:00 - 16:20 uur</v>
      </c>
      <c r="C26" s="120" t="s">
        <v>243</v>
      </c>
      <c r="D26" s="120" t="s">
        <v>244</v>
      </c>
      <c r="E26" s="120" t="s">
        <v>245</v>
      </c>
      <c r="F26" s="120" t="s">
        <v>246</v>
      </c>
      <c r="G26" s="120" t="s">
        <v>248</v>
      </c>
      <c r="H26" s="120" t="s">
        <v>247</v>
      </c>
      <c r="I26" s="120" t="s">
        <v>16</v>
      </c>
      <c r="J26" s="120" t="s">
        <v>16</v>
      </c>
      <c r="K26" s="120" t="s">
        <v>16</v>
      </c>
      <c r="L26" s="120" t="s">
        <v>16</v>
      </c>
      <c r="M26" s="120" t="s">
        <v>16</v>
      </c>
      <c r="N26" s="120" t="s">
        <v>16</v>
      </c>
      <c r="O26" s="120" t="s">
        <v>16</v>
      </c>
      <c r="P26" s="120" t="s">
        <v>16</v>
      </c>
    </row>
    <row r="27" spans="1:96" s="15" customFormat="1" ht="18.75" customHeight="1" x14ac:dyDescent="0.2">
      <c r="A27" s="314">
        <v>23</v>
      </c>
      <c r="B27" s="118" t="str">
        <f>START!B24</f>
        <v>16:20 - 16:40 uur</v>
      </c>
      <c r="C27" s="120" t="s">
        <v>243</v>
      </c>
      <c r="D27" s="120" t="s">
        <v>244</v>
      </c>
      <c r="E27" s="120" t="s">
        <v>245</v>
      </c>
      <c r="F27" s="120" t="s">
        <v>246</v>
      </c>
      <c r="G27" s="120" t="s">
        <v>248</v>
      </c>
      <c r="H27" s="120" t="s">
        <v>247</v>
      </c>
      <c r="I27" s="120" t="s">
        <v>16</v>
      </c>
      <c r="J27" s="120" t="s">
        <v>244</v>
      </c>
      <c r="K27" s="120" t="s">
        <v>245</v>
      </c>
      <c r="L27" s="120" t="s">
        <v>246</v>
      </c>
      <c r="M27" s="120" t="s">
        <v>248</v>
      </c>
      <c r="N27" s="120" t="s">
        <v>247</v>
      </c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8"/>
      <c r="BZ27" s="118"/>
      <c r="CA27" s="118"/>
      <c r="CB27" s="118"/>
      <c r="CC27" s="118"/>
      <c r="CD27" s="118"/>
      <c r="CE27" s="118"/>
      <c r="CF27" s="118"/>
      <c r="CG27" s="118"/>
      <c r="CH27" s="118"/>
      <c r="CI27" s="118"/>
      <c r="CJ27" s="118"/>
      <c r="CK27" s="118"/>
      <c r="CL27" s="118"/>
      <c r="CM27" s="118"/>
      <c r="CN27" s="118"/>
      <c r="CO27" s="118"/>
      <c r="CP27" s="118"/>
      <c r="CQ27" s="118"/>
      <c r="CR27" s="118"/>
    </row>
    <row r="28" spans="1:96" ht="18.75" customHeight="1" x14ac:dyDescent="0.2">
      <c r="A28" s="314">
        <v>24</v>
      </c>
      <c r="B28" s="118" t="str">
        <f>START!B25</f>
        <v>16:40 - 17:00 uur</v>
      </c>
      <c r="C28" s="120" t="s">
        <v>243</v>
      </c>
      <c r="D28" s="120" t="s">
        <v>244</v>
      </c>
      <c r="E28" s="120" t="s">
        <v>245</v>
      </c>
      <c r="F28" s="120" t="s">
        <v>246</v>
      </c>
      <c r="G28" s="120" t="s">
        <v>248</v>
      </c>
      <c r="H28" s="120" t="s">
        <v>247</v>
      </c>
      <c r="I28" s="120" t="s">
        <v>16</v>
      </c>
      <c r="J28" s="120" t="s">
        <v>244</v>
      </c>
      <c r="K28" s="120" t="s">
        <v>245</v>
      </c>
      <c r="L28" s="120" t="s">
        <v>246</v>
      </c>
      <c r="M28" s="120" t="s">
        <v>248</v>
      </c>
      <c r="N28" s="120" t="s">
        <v>247</v>
      </c>
    </row>
    <row r="29" spans="1:96" ht="18.75" customHeight="1" x14ac:dyDescent="0.2">
      <c r="A29" s="314">
        <v>25</v>
      </c>
      <c r="B29" s="118" t="str">
        <f>START!B26</f>
        <v>17:00 - 17:20 uur</v>
      </c>
      <c r="C29" s="120" t="s">
        <v>243</v>
      </c>
      <c r="D29" s="120" t="s">
        <v>244</v>
      </c>
      <c r="E29" s="120" t="s">
        <v>245</v>
      </c>
      <c r="F29" s="120" t="s">
        <v>246</v>
      </c>
      <c r="G29" s="120" t="s">
        <v>248</v>
      </c>
      <c r="H29" s="120" t="s">
        <v>247</v>
      </c>
      <c r="I29" s="120" t="s">
        <v>16</v>
      </c>
      <c r="J29" s="120" t="s">
        <v>16</v>
      </c>
      <c r="K29" s="120" t="s">
        <v>16</v>
      </c>
      <c r="L29" s="120" t="s">
        <v>16</v>
      </c>
      <c r="M29" s="120" t="s">
        <v>16</v>
      </c>
      <c r="N29" s="120" t="s">
        <v>16</v>
      </c>
      <c r="O29" s="120" t="s">
        <v>16</v>
      </c>
      <c r="P29" s="120" t="s">
        <v>16</v>
      </c>
    </row>
    <row r="30" spans="1:96" ht="19.5" customHeight="1" thickBot="1" x14ac:dyDescent="0.25">
      <c r="A30" s="315">
        <v>26</v>
      </c>
      <c r="B30" s="118" t="str">
        <f>START!B27</f>
        <v>17:20 - 17:40 uur</v>
      </c>
      <c r="C30" s="120" t="s">
        <v>243</v>
      </c>
      <c r="D30" s="120" t="s">
        <v>244</v>
      </c>
      <c r="E30" s="120" t="s">
        <v>245</v>
      </c>
      <c r="F30" s="120" t="s">
        <v>246</v>
      </c>
      <c r="G30" s="120" t="s">
        <v>248</v>
      </c>
      <c r="H30" s="120" t="s">
        <v>247</v>
      </c>
      <c r="I30" s="120" t="s">
        <v>16</v>
      </c>
      <c r="J30" s="120" t="s">
        <v>16</v>
      </c>
      <c r="K30" s="120" t="s">
        <v>16</v>
      </c>
      <c r="L30" s="120" t="s">
        <v>16</v>
      </c>
      <c r="M30" s="120" t="s">
        <v>16</v>
      </c>
      <c r="N30" s="120" t="s">
        <v>16</v>
      </c>
      <c r="O30" s="120" t="s">
        <v>16</v>
      </c>
      <c r="P30" s="120" t="s">
        <v>16</v>
      </c>
    </row>
    <row r="31" spans="1:96" ht="18.75" customHeight="1" x14ac:dyDescent="0.2">
      <c r="A31" s="314">
        <v>27</v>
      </c>
      <c r="B31" s="119" t="str">
        <f>START!B28</f>
        <v>17:40 - 18:00 uur</v>
      </c>
      <c r="C31" s="120" t="s">
        <v>243</v>
      </c>
      <c r="D31" s="120" t="s">
        <v>244</v>
      </c>
      <c r="E31" s="120" t="s">
        <v>245</v>
      </c>
      <c r="F31" s="120" t="s">
        <v>246</v>
      </c>
      <c r="G31" s="120" t="s">
        <v>248</v>
      </c>
      <c r="H31" s="120" t="s">
        <v>247</v>
      </c>
      <c r="I31" s="120" t="s">
        <v>16</v>
      </c>
      <c r="J31" s="120" t="s">
        <v>244</v>
      </c>
      <c r="K31" s="120" t="s">
        <v>245</v>
      </c>
      <c r="L31" s="120" t="s">
        <v>246</v>
      </c>
      <c r="M31" s="120" t="s">
        <v>248</v>
      </c>
      <c r="N31" s="120" t="s">
        <v>247</v>
      </c>
    </row>
    <row r="32" spans="1:96" ht="18.75" customHeight="1" thickBot="1" x14ac:dyDescent="0.25">
      <c r="A32" s="315">
        <v>28</v>
      </c>
      <c r="B32" s="119" t="str">
        <f>START!B29</f>
        <v>18:00 - 18:20 uur</v>
      </c>
      <c r="C32" s="120" t="s">
        <v>243</v>
      </c>
      <c r="D32" s="120" t="s">
        <v>244</v>
      </c>
      <c r="E32" s="120" t="s">
        <v>245</v>
      </c>
      <c r="F32" s="120" t="s">
        <v>246</v>
      </c>
      <c r="G32" s="120" t="s">
        <v>248</v>
      </c>
      <c r="H32" s="120" t="s">
        <v>247</v>
      </c>
      <c r="I32" s="120" t="s">
        <v>16</v>
      </c>
      <c r="J32" s="120" t="s">
        <v>244</v>
      </c>
      <c r="K32" s="120" t="s">
        <v>245</v>
      </c>
      <c r="L32" s="120" t="s">
        <v>246</v>
      </c>
      <c r="M32" s="120" t="s">
        <v>248</v>
      </c>
      <c r="N32" s="120" t="s">
        <v>247</v>
      </c>
    </row>
    <row r="33" spans="1:16" ht="18.75" customHeight="1" x14ac:dyDescent="0.2">
      <c r="A33" s="314">
        <v>29</v>
      </c>
      <c r="B33" s="118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</row>
    <row r="34" spans="1:16" ht="18.75" customHeight="1" thickBot="1" x14ac:dyDescent="0.25">
      <c r="A34" s="315">
        <v>30</v>
      </c>
      <c r="B34" s="118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</row>
    <row r="35" spans="1:16" ht="18.75" customHeight="1" x14ac:dyDescent="0.2">
      <c r="A35" s="314"/>
      <c r="B35" s="118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</row>
    <row r="36" spans="1:16" ht="18.75" customHeight="1" x14ac:dyDescent="0.2">
      <c r="A36" s="314"/>
      <c r="B36" s="118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</row>
    <row r="37" spans="1:16" ht="18.75" customHeight="1" x14ac:dyDescent="0.2">
      <c r="A37" s="314"/>
      <c r="B37" s="118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</row>
  </sheetData>
  <mergeCells count="1">
    <mergeCell ref="A2:K2"/>
  </mergeCells>
  <phoneticPr fontId="0" type="noConversion"/>
  <pageMargins left="0.64" right="0.5" top="0.79" bottom="0.47" header="0.5" footer="0.5"/>
  <pageSetup paperSize="9" scale="81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view="pageBreakPreview" topLeftCell="A14" zoomScale="50" zoomScaleNormal="100" zoomScaleSheetLayoutView="100" workbookViewId="0">
      <selection activeCell="O48" sqref="B1:O48"/>
    </sheetView>
  </sheetViews>
  <sheetFormatPr defaultColWidth="10.28515625" defaultRowHeight="15.75" x14ac:dyDescent="0.25"/>
  <cols>
    <col min="1" max="1" width="2.42578125" style="89" customWidth="1"/>
    <col min="2" max="2" width="17" style="89" customWidth="1"/>
    <col min="3" max="3" width="5.85546875" style="89" customWidth="1"/>
    <col min="4" max="4" width="9.28515625" style="89" customWidth="1"/>
    <col min="5" max="5" width="2.5703125" style="89" customWidth="1"/>
    <col min="6" max="6" width="13.85546875" style="89" customWidth="1"/>
    <col min="7" max="7" width="3" style="89" customWidth="1"/>
    <col min="8" max="8" width="4.7109375" style="89" customWidth="1"/>
    <col min="9" max="9" width="2.42578125" style="89" customWidth="1"/>
    <col min="10" max="10" width="17" style="89" customWidth="1"/>
    <col min="11" max="11" width="5.85546875" style="89" customWidth="1"/>
    <col min="12" max="12" width="9.28515625" style="89" customWidth="1"/>
    <col min="13" max="13" width="2.5703125" style="89" customWidth="1"/>
    <col min="14" max="14" width="13.85546875" style="89" customWidth="1"/>
    <col min="15" max="15" width="3" style="89" customWidth="1"/>
    <col min="16" max="16384" width="10.28515625" style="89"/>
  </cols>
  <sheetData>
    <row r="1" spans="1:15" ht="16.5" hidden="1" thickBot="1" x14ac:dyDescent="0.3">
      <c r="A1" s="86"/>
      <c r="B1" s="155" t="s">
        <v>256</v>
      </c>
      <c r="C1" s="87"/>
      <c r="D1" s="87"/>
      <c r="E1" s="87"/>
      <c r="F1" s="155" t="s">
        <v>257</v>
      </c>
      <c r="G1" s="88"/>
    </row>
    <row r="2" spans="1:15" ht="19.5" hidden="1" thickBot="1" x14ac:dyDescent="0.3">
      <c r="A2" s="90"/>
      <c r="B2" s="507"/>
      <c r="C2" s="504"/>
      <c r="D2" s="505"/>
      <c r="E2" s="106"/>
      <c r="F2" s="136" t="s">
        <v>258</v>
      </c>
      <c r="G2" s="91"/>
    </row>
    <row r="3" spans="1:15" ht="16.5" hidden="1" thickBot="1" x14ac:dyDescent="0.3">
      <c r="A3" s="90"/>
      <c r="B3" s="92"/>
      <c r="C3" s="92"/>
      <c r="D3" s="92"/>
      <c r="E3" s="92"/>
      <c r="F3" s="93"/>
      <c r="G3" s="91"/>
    </row>
    <row r="4" spans="1:15" ht="18.75" hidden="1" thickBot="1" x14ac:dyDescent="0.3">
      <c r="A4" s="94"/>
      <c r="B4" s="499" t="str">
        <f>START!B22</f>
        <v>15:40 - 16:00 uur</v>
      </c>
      <c r="C4" s="496"/>
      <c r="D4" s="496"/>
      <c r="E4" s="497"/>
      <c r="F4" s="104" t="s">
        <v>249</v>
      </c>
      <c r="G4" s="95"/>
    </row>
    <row r="5" spans="1:15" ht="16.5" hidden="1" thickBot="1" x14ac:dyDescent="0.3">
      <c r="A5" s="90"/>
      <c r="B5" s="97"/>
      <c r="C5" s="92"/>
      <c r="D5" s="92"/>
      <c r="E5" s="92"/>
      <c r="F5" s="98"/>
      <c r="G5" s="91"/>
    </row>
    <row r="6" spans="1:15" ht="21" hidden="1" thickBot="1" x14ac:dyDescent="0.35">
      <c r="A6" s="113"/>
      <c r="B6" s="500"/>
      <c r="C6" s="501"/>
      <c r="D6" s="502"/>
      <c r="E6" s="114"/>
      <c r="F6" s="115"/>
      <c r="G6" s="116"/>
    </row>
    <row r="7" spans="1:15" ht="16.5" hidden="1" thickBot="1" x14ac:dyDescent="0.3">
      <c r="A7" s="90"/>
      <c r="B7" s="99"/>
      <c r="C7" s="99"/>
      <c r="D7" s="99"/>
      <c r="E7" s="99"/>
      <c r="F7" s="99"/>
      <c r="G7" s="91"/>
    </row>
    <row r="8" spans="1:15" ht="21" hidden="1" thickBot="1" x14ac:dyDescent="0.35">
      <c r="A8" s="113"/>
      <c r="B8" s="500"/>
      <c r="C8" s="501"/>
      <c r="D8" s="502"/>
      <c r="E8" s="114"/>
      <c r="F8" s="115"/>
      <c r="G8" s="116"/>
    </row>
    <row r="9" spans="1:15" hidden="1" x14ac:dyDescent="0.25">
      <c r="A9" s="90"/>
      <c r="B9" s="99"/>
      <c r="C9" s="99"/>
      <c r="D9" s="99"/>
      <c r="E9" s="99"/>
      <c r="F9" s="99"/>
      <c r="G9" s="91"/>
    </row>
    <row r="10" spans="1:15" hidden="1" x14ac:dyDescent="0.25">
      <c r="A10" s="90"/>
      <c r="B10" s="498" t="str">
        <f>START!A38</f>
        <v>SCOREKAART - HVC2016</v>
      </c>
      <c r="C10" s="498"/>
      <c r="D10" s="498"/>
      <c r="E10" s="498"/>
      <c r="F10" s="498"/>
      <c r="G10" s="91"/>
    </row>
    <row r="11" spans="1:15" ht="16.5" hidden="1" thickBot="1" x14ac:dyDescent="0.3">
      <c r="A11" s="101"/>
      <c r="B11" s="102"/>
      <c r="C11" s="102"/>
      <c r="D11" s="102"/>
      <c r="E11" s="102"/>
      <c r="F11" s="102"/>
      <c r="G11" s="103"/>
    </row>
    <row r="12" spans="1:15" hidden="1" x14ac:dyDescent="0.25">
      <c r="A12" s="99"/>
      <c r="B12" s="99"/>
      <c r="C12" s="99"/>
      <c r="D12" s="99"/>
      <c r="E12" s="99"/>
      <c r="F12" s="99"/>
      <c r="G12" s="99"/>
    </row>
    <row r="13" spans="1:15" ht="16.5" hidden="1" thickBot="1" x14ac:dyDescent="0.3">
      <c r="A13" s="99"/>
      <c r="B13" s="99"/>
      <c r="C13" s="99"/>
      <c r="D13" s="99"/>
      <c r="E13" s="99"/>
      <c r="F13" s="99"/>
      <c r="G13" s="99"/>
    </row>
    <row r="14" spans="1:15" ht="16.5" thickBot="1" x14ac:dyDescent="0.3">
      <c r="A14" s="86"/>
      <c r="B14" s="155"/>
      <c r="C14" s="87"/>
      <c r="D14" s="87"/>
      <c r="E14" s="87"/>
      <c r="F14" s="155"/>
      <c r="G14" s="88"/>
      <c r="I14" s="86"/>
      <c r="J14" s="87"/>
      <c r="K14" s="87"/>
      <c r="L14" s="87"/>
      <c r="M14" s="87"/>
      <c r="N14" s="87"/>
      <c r="O14" s="88"/>
    </row>
    <row r="15" spans="1:15" ht="20.25" customHeight="1" thickBot="1" x14ac:dyDescent="0.3">
      <c r="A15" s="90"/>
      <c r="B15" s="507"/>
      <c r="C15" s="504"/>
      <c r="D15" s="505"/>
      <c r="E15" s="106"/>
      <c r="F15" s="136"/>
      <c r="G15" s="91"/>
      <c r="I15" s="90"/>
      <c r="J15" s="507"/>
      <c r="K15" s="504"/>
      <c r="L15" s="505"/>
      <c r="M15" s="106"/>
      <c r="N15" s="105"/>
      <c r="O15" s="91"/>
    </row>
    <row r="16" spans="1:15" ht="9.75" customHeight="1" thickBot="1" x14ac:dyDescent="0.3">
      <c r="A16" s="90"/>
      <c r="B16" s="92"/>
      <c r="C16" s="92"/>
      <c r="D16" s="92"/>
      <c r="E16" s="92"/>
      <c r="F16" s="93"/>
      <c r="G16" s="91"/>
      <c r="I16" s="90"/>
      <c r="J16" s="92"/>
      <c r="K16" s="92"/>
      <c r="L16" s="92"/>
      <c r="M16" s="92"/>
      <c r="N16" s="93"/>
      <c r="O16" s="91"/>
    </row>
    <row r="17" spans="1:15" s="96" customFormat="1" ht="19.5" customHeight="1" thickBot="1" x14ac:dyDescent="0.3">
      <c r="A17" s="94"/>
      <c r="B17" s="499"/>
      <c r="C17" s="496"/>
      <c r="D17" s="496"/>
      <c r="E17" s="497"/>
      <c r="F17" s="104" t="s">
        <v>249</v>
      </c>
      <c r="G17" s="95"/>
      <c r="I17" s="94"/>
      <c r="J17" s="499"/>
      <c r="K17" s="496"/>
      <c r="L17" s="496"/>
      <c r="M17" s="497"/>
      <c r="N17" s="104" t="s">
        <v>250</v>
      </c>
      <c r="O17" s="95"/>
    </row>
    <row r="18" spans="1:15" ht="14.25" customHeight="1" thickBot="1" x14ac:dyDescent="0.3">
      <c r="A18" s="90"/>
      <c r="B18" s="97"/>
      <c r="C18" s="92"/>
      <c r="D18" s="92"/>
      <c r="E18" s="92"/>
      <c r="F18" s="98"/>
      <c r="G18" s="91"/>
      <c r="I18" s="90"/>
      <c r="J18" s="97"/>
      <c r="K18" s="92"/>
      <c r="L18" s="92"/>
      <c r="M18" s="92"/>
      <c r="N18" s="98"/>
      <c r="O18" s="91"/>
    </row>
    <row r="19" spans="1:15" s="117" customFormat="1" ht="30" customHeight="1" thickBot="1" x14ac:dyDescent="0.35">
      <c r="A19" s="113"/>
      <c r="B19" s="500"/>
      <c r="C19" s="501"/>
      <c r="D19" s="502"/>
      <c r="E19" s="114"/>
      <c r="F19" s="115"/>
      <c r="G19" s="116"/>
      <c r="I19" s="113"/>
      <c r="J19" s="500"/>
      <c r="K19" s="501"/>
      <c r="L19" s="502"/>
      <c r="M19" s="114"/>
      <c r="N19" s="115"/>
      <c r="O19" s="116"/>
    </row>
    <row r="20" spans="1:15" ht="16.5" thickBot="1" x14ac:dyDescent="0.3">
      <c r="A20" s="90"/>
      <c r="B20" s="99"/>
      <c r="C20" s="99"/>
      <c r="D20" s="99"/>
      <c r="E20" s="99"/>
      <c r="F20" s="99"/>
      <c r="G20" s="91"/>
      <c r="I20" s="90"/>
      <c r="J20" s="99"/>
      <c r="K20" s="99"/>
      <c r="L20" s="99"/>
      <c r="M20" s="99"/>
      <c r="N20" s="99"/>
      <c r="O20" s="91"/>
    </row>
    <row r="21" spans="1:15" s="117" customFormat="1" ht="30" customHeight="1" thickBot="1" x14ac:dyDescent="0.35">
      <c r="A21" s="113"/>
      <c r="B21" s="500"/>
      <c r="C21" s="501"/>
      <c r="D21" s="502"/>
      <c r="E21" s="114"/>
      <c r="F21" s="115"/>
      <c r="G21" s="116"/>
      <c r="I21" s="113"/>
      <c r="J21" s="500"/>
      <c r="K21" s="501"/>
      <c r="L21" s="502"/>
      <c r="M21" s="114"/>
      <c r="N21" s="115"/>
      <c r="O21" s="116"/>
    </row>
    <row r="22" spans="1:15" ht="12" customHeight="1" x14ac:dyDescent="0.25">
      <c r="A22" s="90"/>
      <c r="B22" s="99"/>
      <c r="C22" s="99"/>
      <c r="D22" s="99"/>
      <c r="E22" s="99"/>
      <c r="F22" s="99"/>
      <c r="G22" s="91"/>
      <c r="I22" s="90"/>
      <c r="J22" s="99"/>
      <c r="K22" s="99"/>
      <c r="L22" s="99"/>
      <c r="M22" s="99"/>
      <c r="N22" s="99"/>
      <c r="O22" s="91"/>
    </row>
    <row r="23" spans="1:15" ht="13.5" customHeight="1" x14ac:dyDescent="0.25">
      <c r="A23" s="90"/>
      <c r="B23" s="498" t="str">
        <f>START!A38</f>
        <v>SCOREKAART - HVC2016</v>
      </c>
      <c r="C23" s="498"/>
      <c r="D23" s="498"/>
      <c r="E23" s="498"/>
      <c r="F23" s="498"/>
      <c r="G23" s="91"/>
      <c r="I23" s="90"/>
      <c r="J23" s="498" t="str">
        <f>B23</f>
        <v>SCOREKAART - HVC2016</v>
      </c>
      <c r="K23" s="498"/>
      <c r="L23" s="498"/>
      <c r="M23" s="498"/>
      <c r="N23" s="498"/>
      <c r="O23" s="91"/>
    </row>
    <row r="24" spans="1:15" ht="11.25" customHeight="1" thickBot="1" x14ac:dyDescent="0.3">
      <c r="A24" s="101"/>
      <c r="B24" s="102"/>
      <c r="C24" s="102"/>
      <c r="D24" s="102"/>
      <c r="E24" s="102"/>
      <c r="F24" s="102"/>
      <c r="G24" s="103"/>
      <c r="I24" s="101"/>
      <c r="J24" s="102"/>
      <c r="K24" s="102"/>
      <c r="L24" s="102"/>
      <c r="M24" s="102"/>
      <c r="N24" s="102"/>
      <c r="O24" s="103"/>
    </row>
    <row r="25" spans="1:15" ht="13.5" customHeight="1" thickBot="1" x14ac:dyDescent="0.3">
      <c r="A25" s="99"/>
      <c r="B25" s="99"/>
      <c r="C25" s="99"/>
      <c r="D25" s="99"/>
      <c r="E25" s="99"/>
      <c r="F25" s="99"/>
      <c r="G25" s="99"/>
      <c r="I25" s="99"/>
      <c r="J25" s="99"/>
      <c r="K25" s="99"/>
      <c r="L25" s="99"/>
      <c r="M25" s="99"/>
      <c r="N25" s="99"/>
      <c r="O25" s="99"/>
    </row>
    <row r="26" spans="1:15" ht="16.5" thickBot="1" x14ac:dyDescent="0.3">
      <c r="A26" s="86"/>
      <c r="B26" s="155"/>
      <c r="C26" s="87"/>
      <c r="D26" s="87"/>
      <c r="E26" s="87"/>
      <c r="F26" s="87"/>
      <c r="G26" s="88"/>
      <c r="I26" s="86"/>
      <c r="J26" s="87"/>
      <c r="K26" s="87"/>
      <c r="L26" s="87"/>
      <c r="M26" s="87"/>
      <c r="N26" s="87"/>
      <c r="O26" s="88"/>
    </row>
    <row r="27" spans="1:15" ht="20.100000000000001" customHeight="1" thickBot="1" x14ac:dyDescent="0.3">
      <c r="A27" s="90"/>
      <c r="B27" s="507"/>
      <c r="C27" s="504"/>
      <c r="D27" s="505"/>
      <c r="E27" s="106"/>
      <c r="F27" s="105"/>
      <c r="G27" s="91"/>
      <c r="I27" s="90"/>
      <c r="J27" s="507"/>
      <c r="K27" s="504"/>
      <c r="L27" s="505"/>
      <c r="M27" s="106"/>
      <c r="N27" s="105"/>
      <c r="O27" s="91"/>
    </row>
    <row r="28" spans="1:15" ht="9.75" customHeight="1" thickBot="1" x14ac:dyDescent="0.3">
      <c r="A28" s="90"/>
      <c r="B28" s="92"/>
      <c r="C28" s="92"/>
      <c r="D28" s="92"/>
      <c r="E28" s="92"/>
      <c r="F28" s="93"/>
      <c r="G28" s="91"/>
      <c r="I28" s="90"/>
      <c r="J28" s="92"/>
      <c r="K28" s="92"/>
      <c r="L28" s="92"/>
      <c r="M28" s="92"/>
      <c r="N28" s="93"/>
      <c r="O28" s="91"/>
    </row>
    <row r="29" spans="1:15" ht="20.100000000000001" customHeight="1" thickBot="1" x14ac:dyDescent="0.3">
      <c r="A29" s="94"/>
      <c r="B29" s="499"/>
      <c r="C29" s="496"/>
      <c r="D29" s="496"/>
      <c r="E29" s="497"/>
      <c r="F29" s="104" t="s">
        <v>251</v>
      </c>
      <c r="G29" s="95"/>
      <c r="H29" s="96"/>
      <c r="I29" s="94"/>
      <c r="J29" s="499"/>
      <c r="K29" s="496"/>
      <c r="L29" s="496"/>
      <c r="M29" s="497"/>
      <c r="N29" s="104" t="s">
        <v>252</v>
      </c>
      <c r="O29" s="95"/>
    </row>
    <row r="30" spans="1:15" ht="13.5" customHeight="1" thickBot="1" x14ac:dyDescent="0.3">
      <c r="A30" s="90"/>
      <c r="B30" s="97"/>
      <c r="C30" s="92"/>
      <c r="D30" s="92"/>
      <c r="E30" s="92"/>
      <c r="F30" s="98"/>
      <c r="G30" s="91"/>
      <c r="I30" s="90"/>
      <c r="J30" s="97"/>
      <c r="K30" s="92"/>
      <c r="L30" s="92"/>
      <c r="M30" s="92"/>
      <c r="N30" s="98"/>
      <c r="O30" s="91"/>
    </row>
    <row r="31" spans="1:15" s="117" customFormat="1" ht="30" customHeight="1" thickBot="1" x14ac:dyDescent="0.35">
      <c r="A31" s="113"/>
      <c r="B31" s="500"/>
      <c r="C31" s="501"/>
      <c r="D31" s="502"/>
      <c r="E31" s="114"/>
      <c r="F31" s="115"/>
      <c r="G31" s="116"/>
      <c r="I31" s="113"/>
      <c r="J31" s="500"/>
      <c r="K31" s="501"/>
      <c r="L31" s="502"/>
      <c r="M31" s="114"/>
      <c r="N31" s="115"/>
      <c r="O31" s="116"/>
    </row>
    <row r="32" spans="1:15" ht="16.5" thickBot="1" x14ac:dyDescent="0.3">
      <c r="A32" s="90"/>
      <c r="B32" s="99"/>
      <c r="C32" s="99"/>
      <c r="D32" s="99"/>
      <c r="E32" s="99"/>
      <c r="F32" s="99"/>
      <c r="G32" s="91"/>
      <c r="I32" s="90"/>
      <c r="J32" s="99"/>
      <c r="K32" s="99"/>
      <c r="L32" s="99"/>
      <c r="M32" s="99"/>
      <c r="N32" s="99"/>
      <c r="O32" s="91"/>
    </row>
    <row r="33" spans="1:15" s="117" customFormat="1" ht="30" customHeight="1" thickBot="1" x14ac:dyDescent="0.35">
      <c r="A33" s="113"/>
      <c r="B33" s="500"/>
      <c r="C33" s="501"/>
      <c r="D33" s="502"/>
      <c r="E33" s="114"/>
      <c r="F33" s="115"/>
      <c r="G33" s="116"/>
      <c r="I33" s="113"/>
      <c r="J33" s="500"/>
      <c r="K33" s="501"/>
      <c r="L33" s="502"/>
      <c r="M33" s="114"/>
      <c r="N33" s="115"/>
      <c r="O33" s="116"/>
    </row>
    <row r="34" spans="1:15" ht="12" customHeight="1" x14ac:dyDescent="0.25">
      <c r="A34" s="90"/>
      <c r="B34" s="99"/>
      <c r="C34" s="99"/>
      <c r="D34" s="99"/>
      <c r="E34" s="99"/>
      <c r="F34" s="99"/>
      <c r="G34" s="91"/>
      <c r="I34" s="90"/>
      <c r="J34" s="99"/>
      <c r="K34" s="99"/>
      <c r="L34" s="99"/>
      <c r="M34" s="99"/>
      <c r="N34" s="99"/>
      <c r="O34" s="91"/>
    </row>
    <row r="35" spans="1:15" ht="13.5" customHeight="1" x14ac:dyDescent="0.25">
      <c r="A35" s="90"/>
      <c r="B35" s="498" t="str">
        <f>B23</f>
        <v>SCOREKAART - HVC2016</v>
      </c>
      <c r="C35" s="498"/>
      <c r="D35" s="498"/>
      <c r="E35" s="498"/>
      <c r="F35" s="498"/>
      <c r="G35" s="91"/>
      <c r="I35" s="90"/>
      <c r="J35" s="498" t="str">
        <f>B23</f>
        <v>SCOREKAART - HVC2016</v>
      </c>
      <c r="K35" s="498"/>
      <c r="L35" s="498"/>
      <c r="M35" s="498"/>
      <c r="N35" s="498"/>
      <c r="O35" s="91"/>
    </row>
    <row r="36" spans="1:15" ht="11.25" customHeight="1" thickBot="1" x14ac:dyDescent="0.3">
      <c r="A36" s="101"/>
      <c r="B36" s="102"/>
      <c r="C36" s="102"/>
      <c r="D36" s="102"/>
      <c r="E36" s="102"/>
      <c r="F36" s="102"/>
      <c r="G36" s="103"/>
      <c r="I36" s="101"/>
      <c r="J36" s="102"/>
      <c r="K36" s="102"/>
      <c r="L36" s="102"/>
      <c r="M36" s="102"/>
      <c r="N36" s="102"/>
      <c r="O36" s="103"/>
    </row>
    <row r="37" spans="1:15" ht="14.1" customHeight="1" thickBot="1" x14ac:dyDescent="0.3">
      <c r="A37" s="107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107"/>
    </row>
    <row r="38" spans="1:15" ht="16.5" customHeight="1" thickBot="1" x14ac:dyDescent="0.3">
      <c r="A38" s="86"/>
      <c r="B38" s="87"/>
      <c r="C38" s="87"/>
      <c r="D38" s="87"/>
      <c r="E38" s="87"/>
      <c r="F38" s="87"/>
      <c r="G38" s="88"/>
      <c r="I38" s="86"/>
      <c r="J38" s="155"/>
      <c r="K38" s="87"/>
      <c r="L38" s="87"/>
      <c r="M38" s="87"/>
      <c r="N38" s="87"/>
      <c r="O38" s="88"/>
    </row>
    <row r="39" spans="1:15" ht="20.100000000000001" customHeight="1" thickBot="1" x14ac:dyDescent="0.3">
      <c r="A39" s="90"/>
      <c r="B39" s="507"/>
      <c r="C39" s="504"/>
      <c r="D39" s="505"/>
      <c r="E39" s="106"/>
      <c r="F39" s="105"/>
      <c r="G39" s="91"/>
      <c r="I39" s="90"/>
      <c r="J39" s="507"/>
      <c r="K39" s="504"/>
      <c r="L39" s="505"/>
      <c r="M39" s="106"/>
      <c r="N39" s="105"/>
      <c r="O39" s="91"/>
    </row>
    <row r="40" spans="1:15" ht="13.5" customHeight="1" thickBot="1" x14ac:dyDescent="0.3">
      <c r="A40" s="90"/>
      <c r="B40" s="92"/>
      <c r="C40" s="92"/>
      <c r="D40" s="92"/>
      <c r="E40" s="92"/>
      <c r="F40" s="93"/>
      <c r="G40" s="91"/>
      <c r="I40" s="90"/>
      <c r="J40" s="92"/>
      <c r="K40" s="92"/>
      <c r="L40" s="92"/>
      <c r="M40" s="92"/>
      <c r="N40" s="93"/>
      <c r="O40" s="91"/>
    </row>
    <row r="41" spans="1:15" ht="20.100000000000001" customHeight="1" thickBot="1" x14ac:dyDescent="0.3">
      <c r="A41" s="94"/>
      <c r="B41" s="499"/>
      <c r="C41" s="496"/>
      <c r="D41" s="496"/>
      <c r="E41" s="497"/>
      <c r="F41" s="104" t="s">
        <v>253</v>
      </c>
      <c r="G41" s="95"/>
      <c r="H41" s="96"/>
      <c r="I41" s="94"/>
      <c r="J41" s="499"/>
      <c r="K41" s="496"/>
      <c r="L41" s="496"/>
      <c r="M41" s="497"/>
      <c r="N41" s="104" t="s">
        <v>254</v>
      </c>
      <c r="O41" s="95"/>
    </row>
    <row r="42" spans="1:15" ht="13.5" customHeight="1" thickBot="1" x14ac:dyDescent="0.3">
      <c r="A42" s="90"/>
      <c r="B42" s="97"/>
      <c r="C42" s="92"/>
      <c r="D42" s="92"/>
      <c r="E42" s="92"/>
      <c r="F42" s="98"/>
      <c r="G42" s="91"/>
      <c r="I42" s="90"/>
      <c r="J42" s="97"/>
      <c r="K42" s="92"/>
      <c r="L42" s="92"/>
      <c r="M42" s="92"/>
      <c r="N42" s="98"/>
      <c r="O42" s="91"/>
    </row>
    <row r="43" spans="1:15" s="117" customFormat="1" ht="30" customHeight="1" thickBot="1" x14ac:dyDescent="0.35">
      <c r="A43" s="113"/>
      <c r="B43" s="500"/>
      <c r="C43" s="501"/>
      <c r="D43" s="502"/>
      <c r="E43" s="114"/>
      <c r="F43" s="115"/>
      <c r="G43" s="116"/>
      <c r="I43" s="113"/>
      <c r="J43" s="500"/>
      <c r="K43" s="501"/>
      <c r="L43" s="502"/>
      <c r="M43" s="114"/>
      <c r="N43" s="115"/>
      <c r="O43" s="116"/>
    </row>
    <row r="44" spans="1:15" ht="16.5" thickBot="1" x14ac:dyDescent="0.3">
      <c r="A44" s="90"/>
      <c r="B44" s="99"/>
      <c r="C44" s="99"/>
      <c r="D44" s="99"/>
      <c r="E44" s="99"/>
      <c r="F44" s="99"/>
      <c r="G44" s="91"/>
      <c r="I44" s="90"/>
      <c r="J44" s="99"/>
      <c r="K44" s="99"/>
      <c r="L44" s="99"/>
      <c r="M44" s="99"/>
      <c r="N44" s="99"/>
      <c r="O44" s="91"/>
    </row>
    <row r="45" spans="1:15" s="117" customFormat="1" ht="30" customHeight="1" thickBot="1" x14ac:dyDescent="0.35">
      <c r="A45" s="113"/>
      <c r="B45" s="500"/>
      <c r="C45" s="501"/>
      <c r="D45" s="502"/>
      <c r="E45" s="114"/>
      <c r="F45" s="115"/>
      <c r="G45" s="116"/>
      <c r="I45" s="113"/>
      <c r="J45" s="500"/>
      <c r="K45" s="501"/>
      <c r="L45" s="502"/>
      <c r="M45" s="114"/>
      <c r="N45" s="115"/>
      <c r="O45" s="116"/>
    </row>
    <row r="46" spans="1:15" ht="12" customHeight="1" x14ac:dyDescent="0.25">
      <c r="A46" s="90"/>
      <c r="B46" s="99"/>
      <c r="C46" s="99"/>
      <c r="D46" s="99"/>
      <c r="E46" s="99"/>
      <c r="F46" s="99"/>
      <c r="G46" s="91"/>
      <c r="I46" s="90"/>
      <c r="J46" s="99"/>
      <c r="K46" s="99"/>
      <c r="L46" s="99"/>
      <c r="M46" s="99"/>
      <c r="N46" s="99"/>
      <c r="O46" s="91"/>
    </row>
    <row r="47" spans="1:15" ht="13.5" customHeight="1" x14ac:dyDescent="0.25">
      <c r="A47" s="90"/>
      <c r="B47" s="498" t="str">
        <f>B23</f>
        <v>SCOREKAART - HVC2016</v>
      </c>
      <c r="C47" s="498"/>
      <c r="D47" s="498"/>
      <c r="E47" s="498"/>
      <c r="F47" s="498"/>
      <c r="G47" s="91"/>
      <c r="I47" s="90"/>
      <c r="J47" s="498" t="str">
        <f>B23</f>
        <v>SCOREKAART - HVC2016</v>
      </c>
      <c r="K47" s="498"/>
      <c r="L47" s="498"/>
      <c r="M47" s="498"/>
      <c r="N47" s="498"/>
      <c r="O47" s="91"/>
    </row>
    <row r="48" spans="1:15" ht="12" customHeight="1" thickBot="1" x14ac:dyDescent="0.3">
      <c r="A48" s="101"/>
      <c r="B48" s="102"/>
      <c r="C48" s="102"/>
      <c r="D48" s="102"/>
      <c r="E48" s="102"/>
      <c r="F48" s="102"/>
      <c r="G48" s="103"/>
      <c r="I48" s="101"/>
      <c r="J48" s="102"/>
      <c r="K48" s="102"/>
      <c r="L48" s="102"/>
      <c r="M48" s="102"/>
      <c r="N48" s="102"/>
      <c r="O48" s="103"/>
    </row>
    <row r="49" spans="1:15" ht="16.5" thickBot="1" x14ac:dyDescent="0.3">
      <c r="A49" s="86"/>
      <c r="B49" s="87"/>
      <c r="C49" s="87"/>
      <c r="D49" s="87"/>
      <c r="E49" s="87"/>
      <c r="F49" s="87"/>
      <c r="G49" s="88"/>
      <c r="I49" s="86"/>
      <c r="J49" s="87"/>
      <c r="K49" s="87"/>
      <c r="L49" s="87"/>
      <c r="M49" s="87"/>
      <c r="N49" s="87"/>
      <c r="O49" s="88"/>
    </row>
    <row r="50" spans="1:15" ht="20.25" customHeight="1" thickBot="1" x14ac:dyDescent="0.3">
      <c r="A50" s="90"/>
      <c r="B50" s="508" t="s">
        <v>259</v>
      </c>
      <c r="C50" s="504"/>
      <c r="D50" s="505"/>
      <c r="E50" s="106"/>
      <c r="F50" s="105"/>
      <c r="G50" s="91"/>
      <c r="I50" s="90"/>
      <c r="J50" s="507" t="s">
        <v>260</v>
      </c>
      <c r="K50" s="504"/>
      <c r="L50" s="505"/>
      <c r="M50" s="106"/>
      <c r="N50" s="105"/>
      <c r="O50" s="91"/>
    </row>
    <row r="51" spans="1:15" ht="9.75" customHeight="1" thickBot="1" x14ac:dyDescent="0.3">
      <c r="A51" s="90"/>
      <c r="B51" s="92"/>
      <c r="C51" s="92"/>
      <c r="D51" s="92"/>
      <c r="E51" s="92"/>
      <c r="F51" s="93"/>
      <c r="G51" s="91"/>
      <c r="I51" s="90"/>
      <c r="J51" s="92"/>
      <c r="K51" s="92"/>
      <c r="L51" s="92"/>
      <c r="M51" s="92"/>
      <c r="N51" s="93"/>
      <c r="O51" s="91"/>
    </row>
    <row r="52" spans="1:15" s="96" customFormat="1" ht="19.5" customHeight="1" thickBot="1" x14ac:dyDescent="0.3">
      <c r="A52" s="94"/>
      <c r="B52" s="499" t="str">
        <f>START!B25</f>
        <v>16:40 - 17:00 uur</v>
      </c>
      <c r="C52" s="496"/>
      <c r="D52" s="496"/>
      <c r="E52" s="497"/>
      <c r="F52" s="104" t="s">
        <v>249</v>
      </c>
      <c r="G52" s="95"/>
      <c r="I52" s="94"/>
      <c r="J52" s="499" t="str">
        <f>START!B25</f>
        <v>16:40 - 17:00 uur</v>
      </c>
      <c r="K52" s="496"/>
      <c r="L52" s="496"/>
      <c r="M52" s="497"/>
      <c r="N52" s="104" t="s">
        <v>251</v>
      </c>
      <c r="O52" s="95"/>
    </row>
    <row r="53" spans="1:15" ht="14.25" customHeight="1" thickBot="1" x14ac:dyDescent="0.3">
      <c r="A53" s="90"/>
      <c r="B53" s="97"/>
      <c r="C53" s="92"/>
      <c r="D53" s="92"/>
      <c r="E53" s="92"/>
      <c r="F53" s="98"/>
      <c r="G53" s="91"/>
      <c r="I53" s="90"/>
      <c r="J53" s="97"/>
      <c r="K53" s="92"/>
      <c r="L53" s="92"/>
      <c r="M53" s="92"/>
      <c r="N53" s="98"/>
      <c r="O53" s="91"/>
    </row>
    <row r="54" spans="1:15" s="117" customFormat="1" ht="30" customHeight="1" thickBot="1" x14ac:dyDescent="0.35">
      <c r="A54" s="113"/>
      <c r="B54" s="500" t="e">
        <f>EINDRONDE!#REF!</f>
        <v>#REF!</v>
      </c>
      <c r="C54" s="501"/>
      <c r="D54" s="502"/>
      <c r="E54" s="114"/>
      <c r="F54" s="115"/>
      <c r="G54" s="116"/>
      <c r="I54" s="113"/>
      <c r="J54" s="500" t="e">
        <f>EINDRONDE!#REF!</f>
        <v>#REF!</v>
      </c>
      <c r="K54" s="501"/>
      <c r="L54" s="502"/>
      <c r="M54" s="114"/>
      <c r="N54" s="115"/>
      <c r="O54" s="116"/>
    </row>
    <row r="55" spans="1:15" ht="16.5" thickBot="1" x14ac:dyDescent="0.3">
      <c r="A55" s="90"/>
      <c r="B55" s="99"/>
      <c r="C55" s="99"/>
      <c r="D55" s="99"/>
      <c r="E55" s="99"/>
      <c r="F55" s="99"/>
      <c r="G55" s="91"/>
      <c r="I55" s="90"/>
      <c r="J55" s="99"/>
      <c r="K55" s="99"/>
      <c r="L55" s="99"/>
      <c r="M55" s="99"/>
      <c r="N55" s="99"/>
      <c r="O55" s="91"/>
    </row>
    <row r="56" spans="1:15" s="117" customFormat="1" ht="30" customHeight="1" thickBot="1" x14ac:dyDescent="0.35">
      <c r="A56" s="113"/>
      <c r="B56" s="500" t="e">
        <f>EINDRONDE!#REF!</f>
        <v>#REF!</v>
      </c>
      <c r="C56" s="501"/>
      <c r="D56" s="502"/>
      <c r="E56" s="114"/>
      <c r="F56" s="115"/>
      <c r="G56" s="116"/>
      <c r="I56" s="113"/>
      <c r="J56" s="500" t="e">
        <f>EINDRONDE!#REF!</f>
        <v>#REF!</v>
      </c>
      <c r="K56" s="501"/>
      <c r="L56" s="502"/>
      <c r="M56" s="114"/>
      <c r="N56" s="115"/>
      <c r="O56" s="116"/>
    </row>
    <row r="57" spans="1:15" ht="12" customHeight="1" x14ac:dyDescent="0.25">
      <c r="A57" s="90"/>
      <c r="B57" s="99"/>
      <c r="C57" s="99"/>
      <c r="D57" s="99"/>
      <c r="E57" s="99"/>
      <c r="F57" s="99"/>
      <c r="G57" s="91"/>
      <c r="I57" s="90"/>
      <c r="J57" s="99"/>
      <c r="K57" s="99"/>
      <c r="L57" s="99"/>
      <c r="M57" s="99"/>
      <c r="N57" s="99"/>
      <c r="O57" s="91"/>
    </row>
    <row r="58" spans="1:15" ht="13.5" customHeight="1" x14ac:dyDescent="0.25">
      <c r="A58" s="90"/>
      <c r="B58" s="498" t="str">
        <f>B47</f>
        <v>SCOREKAART - HVC2016</v>
      </c>
      <c r="C58" s="498"/>
      <c r="D58" s="498"/>
      <c r="E58" s="498"/>
      <c r="F58" s="498"/>
      <c r="G58" s="91"/>
      <c r="I58" s="90"/>
      <c r="J58" s="498" t="str">
        <f>B58</f>
        <v>SCOREKAART - HVC2016</v>
      </c>
      <c r="K58" s="498"/>
      <c r="L58" s="498"/>
      <c r="M58" s="498"/>
      <c r="N58" s="498"/>
      <c r="O58" s="91"/>
    </row>
    <row r="59" spans="1:15" ht="11.25" customHeight="1" thickBot="1" x14ac:dyDescent="0.3">
      <c r="A59" s="101"/>
      <c r="B59" s="102"/>
      <c r="C59" s="102"/>
      <c r="D59" s="102"/>
      <c r="E59" s="102"/>
      <c r="F59" s="102"/>
      <c r="G59" s="103"/>
      <c r="I59" s="101"/>
      <c r="J59" s="102"/>
      <c r="K59" s="102"/>
      <c r="L59" s="102"/>
      <c r="M59" s="102"/>
      <c r="N59" s="102"/>
      <c r="O59" s="103"/>
    </row>
  </sheetData>
  <mergeCells count="45">
    <mergeCell ref="B10:F10"/>
    <mergeCell ref="B2:D2"/>
    <mergeCell ref="B4:E4"/>
    <mergeCell ref="B6:D6"/>
    <mergeCell ref="B8:D8"/>
    <mergeCell ref="J31:L31"/>
    <mergeCell ref="B23:F23"/>
    <mergeCell ref="J23:N23"/>
    <mergeCell ref="B27:D27"/>
    <mergeCell ref="J27:L27"/>
    <mergeCell ref="B31:D31"/>
    <mergeCell ref="B21:D21"/>
    <mergeCell ref="J21:L21"/>
    <mergeCell ref="B29:E29"/>
    <mergeCell ref="J29:M29"/>
    <mergeCell ref="J15:L15"/>
    <mergeCell ref="B17:E17"/>
    <mergeCell ref="J17:M17"/>
    <mergeCell ref="J19:L19"/>
    <mergeCell ref="B19:D19"/>
    <mergeCell ref="B15:D15"/>
    <mergeCell ref="B41:E41"/>
    <mergeCell ref="J41:M41"/>
    <mergeCell ref="J33:L33"/>
    <mergeCell ref="B35:F35"/>
    <mergeCell ref="J35:N35"/>
    <mergeCell ref="B39:D39"/>
    <mergeCell ref="J39:L39"/>
    <mergeCell ref="B33:D33"/>
    <mergeCell ref="B43:D43"/>
    <mergeCell ref="J43:L43"/>
    <mergeCell ref="B45:D45"/>
    <mergeCell ref="J45:L45"/>
    <mergeCell ref="B47:F47"/>
    <mergeCell ref="J47:N47"/>
    <mergeCell ref="B56:D56"/>
    <mergeCell ref="J56:L56"/>
    <mergeCell ref="B58:F58"/>
    <mergeCell ref="J58:N58"/>
    <mergeCell ref="B50:D50"/>
    <mergeCell ref="J50:L50"/>
    <mergeCell ref="B52:E52"/>
    <mergeCell ref="J52:M52"/>
    <mergeCell ref="B54:D54"/>
    <mergeCell ref="J54:L54"/>
  </mergeCells>
  <phoneticPr fontId="47" type="noConversion"/>
  <pageMargins left="0.45" right="0.4" top="0.54" bottom="0.5" header="0.28999999999999998" footer="0.5"/>
  <pageSetup scale="90" orientation="portrait" horizontalDpi="300" verticalDpi="300" r:id="rId1"/>
  <headerFooter alignWithMargins="0"/>
  <rowBreaks count="2" manualBreakCount="2">
    <brk id="12" min="1" max="14" man="1"/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359</vt:i4>
      </vt:variant>
    </vt:vector>
  </HeadingPairs>
  <TitlesOfParts>
    <vt:vector size="376" baseType="lpstr">
      <vt:lpstr>START</vt:lpstr>
      <vt:lpstr>Sheet1</vt:lpstr>
      <vt:lpstr>KWALIFICATIE</vt:lpstr>
      <vt:lpstr>EINDRONDE</vt:lpstr>
      <vt:lpstr>BRIEFJES (11-21)</vt:lpstr>
      <vt:lpstr>BRIEFJES FINALES</vt:lpstr>
      <vt:lpstr>BRIEFJES (1-10)</vt:lpstr>
      <vt:lpstr>FINALES</vt:lpstr>
      <vt:lpstr>POULES (A-H)</vt:lpstr>
      <vt:lpstr>POULES (I+J)</vt:lpstr>
      <vt:lpstr>Beste nr. 3</vt:lpstr>
      <vt:lpstr>Beste nr. 2</vt:lpstr>
      <vt:lpstr>POULES (WINNAARS)</vt:lpstr>
      <vt:lpstr>POULES (RECREANTEN)</vt:lpstr>
      <vt:lpstr>POULE (DAMES)</vt:lpstr>
      <vt:lpstr>SCHEIDSRECHTERS</vt:lpstr>
      <vt:lpstr>BRIEFJES (FIN.)</vt:lpstr>
      <vt:lpstr>'POULE (DAMES)'!A2_Against</vt:lpstr>
      <vt:lpstr>'POULES (I+J)'!A2_Against</vt:lpstr>
      <vt:lpstr>'POULES (RECREANTEN)'!A2_Against</vt:lpstr>
      <vt:lpstr>'POULES (WINNAARS)'!A2_Against</vt:lpstr>
      <vt:lpstr>A2_Against</vt:lpstr>
      <vt:lpstr>'POULE (DAMES)'!A2_Played</vt:lpstr>
      <vt:lpstr>'POULES (I+J)'!A2_Played</vt:lpstr>
      <vt:lpstr>'POULES (RECREANTEN)'!A2_Played</vt:lpstr>
      <vt:lpstr>'POULES (WINNAARS)'!A2_Played</vt:lpstr>
      <vt:lpstr>A2_Played</vt:lpstr>
      <vt:lpstr>'POULE (DAMES)'!Argentina_Against</vt:lpstr>
      <vt:lpstr>'POULES (I+J)'!Argentina_Against</vt:lpstr>
      <vt:lpstr>'POULES (RECREANTEN)'!Argentina_Against</vt:lpstr>
      <vt:lpstr>'POULES (WINNAARS)'!Argentina_Against</vt:lpstr>
      <vt:lpstr>Argentina_Against</vt:lpstr>
      <vt:lpstr>'POULE (DAMES)'!Argentina_Played</vt:lpstr>
      <vt:lpstr>'POULES (I+J)'!Argentina_Played</vt:lpstr>
      <vt:lpstr>'POULES (RECREANTEN)'!Argentina_Played</vt:lpstr>
      <vt:lpstr>'POULES (WINNAARS)'!Argentina_Played</vt:lpstr>
      <vt:lpstr>Argentina_Played</vt:lpstr>
      <vt:lpstr>'POULE (DAMES)'!Belgium_Against</vt:lpstr>
      <vt:lpstr>'POULES (I+J)'!Belgium_Against</vt:lpstr>
      <vt:lpstr>'POULES (RECREANTEN)'!Belgium_Against</vt:lpstr>
      <vt:lpstr>'POULES (WINNAARS)'!Belgium_Against</vt:lpstr>
      <vt:lpstr>Belgium_Against</vt:lpstr>
      <vt:lpstr>'POULE (DAMES)'!Belgium_Played</vt:lpstr>
      <vt:lpstr>'POULES (I+J)'!Belgium_Played</vt:lpstr>
      <vt:lpstr>'POULES (RECREANTEN)'!Belgium_Played</vt:lpstr>
      <vt:lpstr>'POULES (WINNAARS)'!Belgium_Played</vt:lpstr>
      <vt:lpstr>Belgium_Played</vt:lpstr>
      <vt:lpstr>'POULE (DAMES)'!Brazil_Against</vt:lpstr>
      <vt:lpstr>'POULES (I+J)'!Brazil_Against</vt:lpstr>
      <vt:lpstr>'POULES (RECREANTEN)'!Brazil_Against</vt:lpstr>
      <vt:lpstr>'POULES (WINNAARS)'!Brazil_Against</vt:lpstr>
      <vt:lpstr>Brazil_Against</vt:lpstr>
      <vt:lpstr>'POULE (DAMES)'!Brazil_Played</vt:lpstr>
      <vt:lpstr>'POULES (I+J)'!Brazil_Played</vt:lpstr>
      <vt:lpstr>'POULES (RECREANTEN)'!Brazil_Played</vt:lpstr>
      <vt:lpstr>'POULES (WINNAARS)'!Brazil_Played</vt:lpstr>
      <vt:lpstr>Brazil_Played</vt:lpstr>
      <vt:lpstr>'POULE (DAMES)'!Cameroon_Against</vt:lpstr>
      <vt:lpstr>'POULES (I+J)'!Cameroon_Against</vt:lpstr>
      <vt:lpstr>'POULES (RECREANTEN)'!Cameroon_Against</vt:lpstr>
      <vt:lpstr>'POULES (WINNAARS)'!Cameroon_Against</vt:lpstr>
      <vt:lpstr>Cameroon_Against</vt:lpstr>
      <vt:lpstr>'POULE (DAMES)'!Cameroon_Played</vt:lpstr>
      <vt:lpstr>'POULES (I+J)'!Cameroon_Played</vt:lpstr>
      <vt:lpstr>'POULES (RECREANTEN)'!Cameroon_Played</vt:lpstr>
      <vt:lpstr>'POULES (WINNAARS)'!Cameroon_Played</vt:lpstr>
      <vt:lpstr>Cameroon_Played</vt:lpstr>
      <vt:lpstr>'POULE (DAMES)'!China_Against</vt:lpstr>
      <vt:lpstr>'POULES (I+J)'!China_Against</vt:lpstr>
      <vt:lpstr>'POULES (RECREANTEN)'!China_Against</vt:lpstr>
      <vt:lpstr>'POULES (WINNAARS)'!China_Against</vt:lpstr>
      <vt:lpstr>China_Against</vt:lpstr>
      <vt:lpstr>'POULE (DAMES)'!China_Played</vt:lpstr>
      <vt:lpstr>'POULES (I+J)'!China_Played</vt:lpstr>
      <vt:lpstr>'POULES (RECREANTEN)'!China_Played</vt:lpstr>
      <vt:lpstr>'POULES (WINNAARS)'!China_Played</vt:lpstr>
      <vt:lpstr>China_Played</vt:lpstr>
      <vt:lpstr>'POULE (DAMES)'!Costa_Rica_Against</vt:lpstr>
      <vt:lpstr>'POULES (I+J)'!Costa_Rica_Against</vt:lpstr>
      <vt:lpstr>'POULES (RECREANTEN)'!Costa_Rica_Against</vt:lpstr>
      <vt:lpstr>'POULES (WINNAARS)'!Costa_Rica_Against</vt:lpstr>
      <vt:lpstr>Costa_Rica_Against</vt:lpstr>
      <vt:lpstr>'POULE (DAMES)'!Costa_Rica_Played</vt:lpstr>
      <vt:lpstr>'POULES (I+J)'!Costa_Rica_Played</vt:lpstr>
      <vt:lpstr>'POULES (RECREANTEN)'!Costa_Rica_Played</vt:lpstr>
      <vt:lpstr>'POULES (WINNAARS)'!Costa_Rica_Played</vt:lpstr>
      <vt:lpstr>Costa_Rica_Played</vt:lpstr>
      <vt:lpstr>'POULE (DAMES)'!Croatia_Against</vt:lpstr>
      <vt:lpstr>'POULES (I+J)'!Croatia_Against</vt:lpstr>
      <vt:lpstr>'POULES (RECREANTEN)'!Croatia_Against</vt:lpstr>
      <vt:lpstr>'POULES (WINNAARS)'!Croatia_Against</vt:lpstr>
      <vt:lpstr>Croatia_Against</vt:lpstr>
      <vt:lpstr>'POULE (DAMES)'!Croatia_Played</vt:lpstr>
      <vt:lpstr>'POULES (I+J)'!Croatia_Played</vt:lpstr>
      <vt:lpstr>'POULES (RECREANTEN)'!Croatia_Played</vt:lpstr>
      <vt:lpstr>'POULES (WINNAARS)'!Croatia_Played</vt:lpstr>
      <vt:lpstr>Croatia_Played</vt:lpstr>
      <vt:lpstr>'POULE (DAMES)'!Denmark_Against</vt:lpstr>
      <vt:lpstr>'POULES (I+J)'!Denmark_Against</vt:lpstr>
      <vt:lpstr>'POULES (RECREANTEN)'!Denmark_Against</vt:lpstr>
      <vt:lpstr>'POULES (WINNAARS)'!Denmark_Against</vt:lpstr>
      <vt:lpstr>Denmark_Against</vt:lpstr>
      <vt:lpstr>'POULE (DAMES)'!Denmark_Played</vt:lpstr>
      <vt:lpstr>'POULES (I+J)'!Denmark_Played</vt:lpstr>
      <vt:lpstr>'POULES (RECREANTEN)'!Denmark_Played</vt:lpstr>
      <vt:lpstr>'POULES (WINNAARS)'!Denmark_Played</vt:lpstr>
      <vt:lpstr>Denmark_Played</vt:lpstr>
      <vt:lpstr>'POULE (DAMES)'!Ecuador_Against</vt:lpstr>
      <vt:lpstr>'POULES (I+J)'!Ecuador_Against</vt:lpstr>
      <vt:lpstr>'POULES (RECREANTEN)'!Ecuador_Against</vt:lpstr>
      <vt:lpstr>'POULES (WINNAARS)'!Ecuador_Against</vt:lpstr>
      <vt:lpstr>Ecuador_Against</vt:lpstr>
      <vt:lpstr>'POULE (DAMES)'!Ecuador_Played</vt:lpstr>
      <vt:lpstr>'POULES (I+J)'!Ecuador_Played</vt:lpstr>
      <vt:lpstr>'POULES (RECREANTEN)'!Ecuador_Played</vt:lpstr>
      <vt:lpstr>'POULES (WINNAARS)'!Ecuador_Played</vt:lpstr>
      <vt:lpstr>Ecuador_Played</vt:lpstr>
      <vt:lpstr>'POULE (DAMES)'!England_Against</vt:lpstr>
      <vt:lpstr>'POULES (I+J)'!England_Against</vt:lpstr>
      <vt:lpstr>'POULES (RECREANTEN)'!England_Against</vt:lpstr>
      <vt:lpstr>'POULES (WINNAARS)'!England_Against</vt:lpstr>
      <vt:lpstr>England_Against</vt:lpstr>
      <vt:lpstr>'POULE (DAMES)'!England_Played</vt:lpstr>
      <vt:lpstr>'POULES (I+J)'!England_Played</vt:lpstr>
      <vt:lpstr>'POULES (RECREANTEN)'!England_Played</vt:lpstr>
      <vt:lpstr>'POULES (WINNAARS)'!England_Played</vt:lpstr>
      <vt:lpstr>England_Played</vt:lpstr>
      <vt:lpstr>'POULE (DAMES)'!France_Against</vt:lpstr>
      <vt:lpstr>'POULES (I+J)'!France_Against</vt:lpstr>
      <vt:lpstr>'POULES (RECREANTEN)'!France_Against</vt:lpstr>
      <vt:lpstr>'POULES (WINNAARS)'!France_Against</vt:lpstr>
      <vt:lpstr>France_Against</vt:lpstr>
      <vt:lpstr>'POULE (DAMES)'!France_Played</vt:lpstr>
      <vt:lpstr>'POULES (I+J)'!France_Played</vt:lpstr>
      <vt:lpstr>'POULES (RECREANTEN)'!France_Played</vt:lpstr>
      <vt:lpstr>'POULES (WINNAARS)'!France_Played</vt:lpstr>
      <vt:lpstr>France_Played</vt:lpstr>
      <vt:lpstr>'POULE (DAMES)'!France_Results</vt:lpstr>
      <vt:lpstr>'POULES (I+J)'!France_Results</vt:lpstr>
      <vt:lpstr>'POULES (RECREANTEN)'!France_Results</vt:lpstr>
      <vt:lpstr>'POULES (WINNAARS)'!France_Results</vt:lpstr>
      <vt:lpstr>France_Results</vt:lpstr>
      <vt:lpstr>'POULE (DAMES)'!Germany_Against</vt:lpstr>
      <vt:lpstr>'POULES (I+J)'!Germany_Against</vt:lpstr>
      <vt:lpstr>'POULES (RECREANTEN)'!Germany_Against</vt:lpstr>
      <vt:lpstr>'POULES (WINNAARS)'!Germany_Against</vt:lpstr>
      <vt:lpstr>Germany_Against</vt:lpstr>
      <vt:lpstr>'POULE (DAMES)'!Germany_Played</vt:lpstr>
      <vt:lpstr>'POULES (I+J)'!Germany_Played</vt:lpstr>
      <vt:lpstr>'POULES (RECREANTEN)'!Germany_Played</vt:lpstr>
      <vt:lpstr>'POULES (WINNAARS)'!Germany_Played</vt:lpstr>
      <vt:lpstr>Germany_Played</vt:lpstr>
      <vt:lpstr>'POULE (DAMES)'!Groupstage_Losers</vt:lpstr>
      <vt:lpstr>'POULES (I+J)'!Groupstage_Losers</vt:lpstr>
      <vt:lpstr>'POULES (RECREANTEN)'!Groupstage_Losers</vt:lpstr>
      <vt:lpstr>'POULES (WINNAARS)'!Groupstage_Losers</vt:lpstr>
      <vt:lpstr>Groupstage_Losers</vt:lpstr>
      <vt:lpstr>'POULE (DAMES)'!Groupstage_Winners</vt:lpstr>
      <vt:lpstr>'POULES (I+J)'!Groupstage_Winners</vt:lpstr>
      <vt:lpstr>'POULES (RECREANTEN)'!Groupstage_Winners</vt:lpstr>
      <vt:lpstr>'POULES (WINNAARS)'!Groupstage_Winners</vt:lpstr>
      <vt:lpstr>Groupstage_Winners</vt:lpstr>
      <vt:lpstr>'POULE (DAMES)'!Ireland_Against</vt:lpstr>
      <vt:lpstr>'POULES (I+J)'!Ireland_Against</vt:lpstr>
      <vt:lpstr>'POULES (RECREANTEN)'!Ireland_Against</vt:lpstr>
      <vt:lpstr>'POULES (WINNAARS)'!Ireland_Against</vt:lpstr>
      <vt:lpstr>Ireland_Against</vt:lpstr>
      <vt:lpstr>'POULE (DAMES)'!Ireland_Played</vt:lpstr>
      <vt:lpstr>'POULES (I+J)'!Ireland_Played</vt:lpstr>
      <vt:lpstr>'POULES (RECREANTEN)'!Ireland_Played</vt:lpstr>
      <vt:lpstr>'POULES (WINNAARS)'!Ireland_Played</vt:lpstr>
      <vt:lpstr>Ireland_Played</vt:lpstr>
      <vt:lpstr>'POULE (DAMES)'!Italy_Against</vt:lpstr>
      <vt:lpstr>'POULES (I+J)'!Italy_Against</vt:lpstr>
      <vt:lpstr>'POULES (RECREANTEN)'!Italy_Against</vt:lpstr>
      <vt:lpstr>'POULES (WINNAARS)'!Italy_Against</vt:lpstr>
      <vt:lpstr>Italy_Against</vt:lpstr>
      <vt:lpstr>'POULE (DAMES)'!Italy_Played</vt:lpstr>
      <vt:lpstr>'POULES (I+J)'!Italy_Played</vt:lpstr>
      <vt:lpstr>'POULES (RECREANTEN)'!Italy_Played</vt:lpstr>
      <vt:lpstr>'POULES (WINNAARS)'!Italy_Played</vt:lpstr>
      <vt:lpstr>Italy_Played</vt:lpstr>
      <vt:lpstr>'POULE (DAMES)'!Japan_Against</vt:lpstr>
      <vt:lpstr>'POULES (I+J)'!Japan_Against</vt:lpstr>
      <vt:lpstr>'POULES (RECREANTEN)'!Japan_Against</vt:lpstr>
      <vt:lpstr>'POULES (WINNAARS)'!Japan_Against</vt:lpstr>
      <vt:lpstr>Japan_Against</vt:lpstr>
      <vt:lpstr>'POULE (DAMES)'!Japan_Played</vt:lpstr>
      <vt:lpstr>'POULES (I+J)'!Japan_Played</vt:lpstr>
      <vt:lpstr>'POULES (RECREANTEN)'!Japan_Played</vt:lpstr>
      <vt:lpstr>'POULES (WINNAARS)'!Japan_Played</vt:lpstr>
      <vt:lpstr>Japan_Played</vt:lpstr>
      <vt:lpstr>'POULE (DAMES)'!Mexico_Against</vt:lpstr>
      <vt:lpstr>'POULES (I+J)'!Mexico_Against</vt:lpstr>
      <vt:lpstr>'POULES (RECREANTEN)'!Mexico_Against</vt:lpstr>
      <vt:lpstr>'POULES (WINNAARS)'!Mexico_Against</vt:lpstr>
      <vt:lpstr>Mexico_Against</vt:lpstr>
      <vt:lpstr>'POULE (DAMES)'!Mexico_Played</vt:lpstr>
      <vt:lpstr>'POULES (I+J)'!Mexico_Played</vt:lpstr>
      <vt:lpstr>'POULES (RECREANTEN)'!Mexico_Played</vt:lpstr>
      <vt:lpstr>'POULES (WINNAARS)'!Mexico_Played</vt:lpstr>
      <vt:lpstr>Mexico_Played</vt:lpstr>
      <vt:lpstr>'POULE (DAMES)'!Nigeria_Against</vt:lpstr>
      <vt:lpstr>'POULES (I+J)'!Nigeria_Against</vt:lpstr>
      <vt:lpstr>'POULES (RECREANTEN)'!Nigeria_Against</vt:lpstr>
      <vt:lpstr>'POULES (WINNAARS)'!Nigeria_Against</vt:lpstr>
      <vt:lpstr>Nigeria_Against</vt:lpstr>
      <vt:lpstr>'POULE (DAMES)'!Nigeria_Played</vt:lpstr>
      <vt:lpstr>'POULES (I+J)'!Nigeria_Played</vt:lpstr>
      <vt:lpstr>'POULES (RECREANTEN)'!Nigeria_Played</vt:lpstr>
      <vt:lpstr>'POULES (WINNAARS)'!Nigeria_Played</vt:lpstr>
      <vt:lpstr>Nigeria_Played</vt:lpstr>
      <vt:lpstr>'POULE (DAMES)'!Paraguay_Against</vt:lpstr>
      <vt:lpstr>'POULES (I+J)'!Paraguay_Against</vt:lpstr>
      <vt:lpstr>'POULES (RECREANTEN)'!Paraguay_Against</vt:lpstr>
      <vt:lpstr>'POULES (WINNAARS)'!Paraguay_Against</vt:lpstr>
      <vt:lpstr>Paraguay_Against</vt:lpstr>
      <vt:lpstr>'POULE (DAMES)'!Paraguay_Played</vt:lpstr>
      <vt:lpstr>'POULES (I+J)'!Paraguay_Played</vt:lpstr>
      <vt:lpstr>'POULES (RECREANTEN)'!Paraguay_Played</vt:lpstr>
      <vt:lpstr>'POULES (WINNAARS)'!Paraguay_Played</vt:lpstr>
      <vt:lpstr>Paraguay_Played</vt:lpstr>
      <vt:lpstr>'POULE (DAMES)'!Poland_Against</vt:lpstr>
      <vt:lpstr>'POULES (I+J)'!Poland_Against</vt:lpstr>
      <vt:lpstr>'POULES (RECREANTEN)'!Poland_Against</vt:lpstr>
      <vt:lpstr>'POULES (WINNAARS)'!Poland_Against</vt:lpstr>
      <vt:lpstr>Poland_Against</vt:lpstr>
      <vt:lpstr>'POULE (DAMES)'!Poland_Played</vt:lpstr>
      <vt:lpstr>'POULES (I+J)'!Poland_Played</vt:lpstr>
      <vt:lpstr>'POULES (RECREANTEN)'!Poland_Played</vt:lpstr>
      <vt:lpstr>'POULES (WINNAARS)'!Poland_Played</vt:lpstr>
      <vt:lpstr>Poland_Played</vt:lpstr>
      <vt:lpstr>'POULE (DAMES)'!Portugal_Against</vt:lpstr>
      <vt:lpstr>'POULES (I+J)'!Portugal_Against</vt:lpstr>
      <vt:lpstr>'POULES (RECREANTEN)'!Portugal_Against</vt:lpstr>
      <vt:lpstr>'POULES (WINNAARS)'!Portugal_Against</vt:lpstr>
      <vt:lpstr>Portugal_Against</vt:lpstr>
      <vt:lpstr>'POULE (DAMES)'!Portugal_Played</vt:lpstr>
      <vt:lpstr>'POULES (I+J)'!Portugal_Played</vt:lpstr>
      <vt:lpstr>'POULES (RECREANTEN)'!Portugal_Played</vt:lpstr>
      <vt:lpstr>'POULES (WINNAARS)'!Portugal_Played</vt:lpstr>
      <vt:lpstr>Portugal_Played</vt:lpstr>
      <vt:lpstr>'BRIEFJES (1-10)'!Print_Area</vt:lpstr>
      <vt:lpstr>'BRIEFJES (11-21)'!Print_Area</vt:lpstr>
      <vt:lpstr>'BRIEFJES (FIN.)'!Print_Area</vt:lpstr>
      <vt:lpstr>'BRIEFJES FINALES'!Print_Area</vt:lpstr>
      <vt:lpstr>EINDRONDE!Print_Area</vt:lpstr>
      <vt:lpstr>FINALES!Print_Area</vt:lpstr>
      <vt:lpstr>KWALIFICATIE!Print_Area</vt:lpstr>
      <vt:lpstr>'POULE (DAMES)'!Print_Area</vt:lpstr>
      <vt:lpstr>'POULES (A-H)'!Print_Area</vt:lpstr>
      <vt:lpstr>'POULES (I+J)'!Print_Area</vt:lpstr>
      <vt:lpstr>'POULES (RECREANTEN)'!Print_Area</vt:lpstr>
      <vt:lpstr>'POULES (WINNAARS)'!Print_Area</vt:lpstr>
      <vt:lpstr>SCHEIDSRECHTERS!Print_Area</vt:lpstr>
      <vt:lpstr>Sheet1!Print_Area</vt:lpstr>
      <vt:lpstr>'POULE (DAMES)'!Russia_Against</vt:lpstr>
      <vt:lpstr>'POULES (I+J)'!Russia_Against</vt:lpstr>
      <vt:lpstr>'POULES (RECREANTEN)'!Russia_Against</vt:lpstr>
      <vt:lpstr>'POULES (WINNAARS)'!Russia_Against</vt:lpstr>
      <vt:lpstr>Russia_Against</vt:lpstr>
      <vt:lpstr>'POULE (DAMES)'!Russia_Played</vt:lpstr>
      <vt:lpstr>'POULES (I+J)'!Russia_Played</vt:lpstr>
      <vt:lpstr>'POULES (RECREANTEN)'!Russia_Played</vt:lpstr>
      <vt:lpstr>'POULES (WINNAARS)'!Russia_Played</vt:lpstr>
      <vt:lpstr>Russia_Played</vt:lpstr>
      <vt:lpstr>'POULE (DAMES)'!Saudi_Arabia_Against</vt:lpstr>
      <vt:lpstr>'POULES (I+J)'!Saudi_Arabia_Against</vt:lpstr>
      <vt:lpstr>'POULES (RECREANTEN)'!Saudi_Arabia_Against</vt:lpstr>
      <vt:lpstr>'POULES (WINNAARS)'!Saudi_Arabia_Against</vt:lpstr>
      <vt:lpstr>Saudi_Arabia_Against</vt:lpstr>
      <vt:lpstr>'POULE (DAMES)'!Saudi_Arabia_Played</vt:lpstr>
      <vt:lpstr>'POULES (I+J)'!Saudi_Arabia_Played</vt:lpstr>
      <vt:lpstr>'POULES (RECREANTEN)'!Saudi_Arabia_Played</vt:lpstr>
      <vt:lpstr>'POULES (WINNAARS)'!Saudi_Arabia_Played</vt:lpstr>
      <vt:lpstr>Saudi_Arabia_Played</vt:lpstr>
      <vt:lpstr>'POULE (DAMES)'!Senegal_Against</vt:lpstr>
      <vt:lpstr>'POULES (I+J)'!Senegal_Against</vt:lpstr>
      <vt:lpstr>'POULES (RECREANTEN)'!Senegal_Against</vt:lpstr>
      <vt:lpstr>'POULES (WINNAARS)'!Senegal_Against</vt:lpstr>
      <vt:lpstr>Senegal_Against</vt:lpstr>
      <vt:lpstr>'POULE (DAMES)'!Senegal_Played</vt:lpstr>
      <vt:lpstr>'POULES (I+J)'!Senegal_Played</vt:lpstr>
      <vt:lpstr>'POULES (RECREANTEN)'!Senegal_Played</vt:lpstr>
      <vt:lpstr>'POULES (WINNAARS)'!Senegal_Played</vt:lpstr>
      <vt:lpstr>Senegal_Played</vt:lpstr>
      <vt:lpstr>'POULE (DAMES)'!Slovenia_Against</vt:lpstr>
      <vt:lpstr>'POULES (I+J)'!Slovenia_Against</vt:lpstr>
      <vt:lpstr>'POULES (RECREANTEN)'!Slovenia_Against</vt:lpstr>
      <vt:lpstr>'POULES (WINNAARS)'!Slovenia_Against</vt:lpstr>
      <vt:lpstr>Slovenia_Against</vt:lpstr>
      <vt:lpstr>'POULE (DAMES)'!Slovenia_Played</vt:lpstr>
      <vt:lpstr>'POULES (I+J)'!Slovenia_Played</vt:lpstr>
      <vt:lpstr>'POULES (RECREANTEN)'!Slovenia_Played</vt:lpstr>
      <vt:lpstr>'POULES (WINNAARS)'!Slovenia_Played</vt:lpstr>
      <vt:lpstr>Slovenia_Played</vt:lpstr>
      <vt:lpstr>'POULE (DAMES)'!South_Africa_Against</vt:lpstr>
      <vt:lpstr>'POULES (I+J)'!South_Africa_Against</vt:lpstr>
      <vt:lpstr>'POULES (RECREANTEN)'!South_Africa_Against</vt:lpstr>
      <vt:lpstr>'POULES (WINNAARS)'!South_Africa_Against</vt:lpstr>
      <vt:lpstr>South_Africa_Against</vt:lpstr>
      <vt:lpstr>'POULE (DAMES)'!South_Africa_Played</vt:lpstr>
      <vt:lpstr>'POULES (I+J)'!South_Africa_Played</vt:lpstr>
      <vt:lpstr>'POULES (RECREANTEN)'!South_Africa_Played</vt:lpstr>
      <vt:lpstr>'POULES (WINNAARS)'!South_Africa_Played</vt:lpstr>
      <vt:lpstr>South_Africa_Played</vt:lpstr>
      <vt:lpstr>'POULE (DAMES)'!South_Korea_Against</vt:lpstr>
      <vt:lpstr>'POULES (I+J)'!South_Korea_Against</vt:lpstr>
      <vt:lpstr>'POULES (RECREANTEN)'!South_Korea_Against</vt:lpstr>
      <vt:lpstr>'POULES (WINNAARS)'!South_Korea_Against</vt:lpstr>
      <vt:lpstr>South_Korea_Against</vt:lpstr>
      <vt:lpstr>'POULE (DAMES)'!South_Korea_Played</vt:lpstr>
      <vt:lpstr>'POULES (I+J)'!South_Korea_Played</vt:lpstr>
      <vt:lpstr>'POULES (RECREANTEN)'!South_Korea_Played</vt:lpstr>
      <vt:lpstr>'POULES (WINNAARS)'!South_Korea_Played</vt:lpstr>
      <vt:lpstr>South_Korea_Played</vt:lpstr>
      <vt:lpstr>'POULE (DAMES)'!Spain_Against</vt:lpstr>
      <vt:lpstr>'POULES (I+J)'!Spain_Against</vt:lpstr>
      <vt:lpstr>'POULES (RECREANTEN)'!Spain_Against</vt:lpstr>
      <vt:lpstr>'POULES (WINNAARS)'!Spain_Against</vt:lpstr>
      <vt:lpstr>Spain_Against</vt:lpstr>
      <vt:lpstr>'POULE (DAMES)'!Spain_Played</vt:lpstr>
      <vt:lpstr>'POULES (I+J)'!Spain_Played</vt:lpstr>
      <vt:lpstr>'POULES (RECREANTEN)'!Spain_Played</vt:lpstr>
      <vt:lpstr>'POULES (WINNAARS)'!Spain_Played</vt:lpstr>
      <vt:lpstr>Spain_Played</vt:lpstr>
      <vt:lpstr>'POULE (DAMES)'!Sweden_Against</vt:lpstr>
      <vt:lpstr>'POULES (I+J)'!Sweden_Against</vt:lpstr>
      <vt:lpstr>'POULES (RECREANTEN)'!Sweden_Against</vt:lpstr>
      <vt:lpstr>'POULES (WINNAARS)'!Sweden_Against</vt:lpstr>
      <vt:lpstr>Sweden_Against</vt:lpstr>
      <vt:lpstr>'POULE (DAMES)'!Sweden_Played</vt:lpstr>
      <vt:lpstr>'POULES (I+J)'!Sweden_Played</vt:lpstr>
      <vt:lpstr>'POULES (RECREANTEN)'!Sweden_Played</vt:lpstr>
      <vt:lpstr>'POULES (WINNAARS)'!Sweden_Played</vt:lpstr>
      <vt:lpstr>Sweden_Played</vt:lpstr>
      <vt:lpstr>'POULE (DAMES)'!Tunisia_Against</vt:lpstr>
      <vt:lpstr>'POULES (I+J)'!Tunisia_Against</vt:lpstr>
      <vt:lpstr>'POULES (RECREANTEN)'!Tunisia_Against</vt:lpstr>
      <vt:lpstr>'POULES (WINNAARS)'!Tunisia_Against</vt:lpstr>
      <vt:lpstr>Tunisia_Against</vt:lpstr>
      <vt:lpstr>'POULE (DAMES)'!Tunisia_Played</vt:lpstr>
      <vt:lpstr>'POULES (I+J)'!Tunisia_Played</vt:lpstr>
      <vt:lpstr>'POULES (RECREANTEN)'!Tunisia_Played</vt:lpstr>
      <vt:lpstr>'POULES (WINNAARS)'!Tunisia_Played</vt:lpstr>
      <vt:lpstr>Tunisia_Played</vt:lpstr>
      <vt:lpstr>'POULE (DAMES)'!Turkey_Against</vt:lpstr>
      <vt:lpstr>'POULES (I+J)'!Turkey_Against</vt:lpstr>
      <vt:lpstr>'POULES (RECREANTEN)'!Turkey_Against</vt:lpstr>
      <vt:lpstr>'POULES (WINNAARS)'!Turkey_Against</vt:lpstr>
      <vt:lpstr>Turkey_Against</vt:lpstr>
      <vt:lpstr>'POULE (DAMES)'!Turkey_Played</vt:lpstr>
      <vt:lpstr>'POULES (I+J)'!Turkey_Played</vt:lpstr>
      <vt:lpstr>'POULES (RECREANTEN)'!Turkey_Played</vt:lpstr>
      <vt:lpstr>'POULES (WINNAARS)'!Turkey_Played</vt:lpstr>
      <vt:lpstr>Turkey_Played</vt:lpstr>
      <vt:lpstr>'POULE (DAMES)'!Uruguay_Against</vt:lpstr>
      <vt:lpstr>'POULES (I+J)'!Uruguay_Against</vt:lpstr>
      <vt:lpstr>'POULES (RECREANTEN)'!Uruguay_Against</vt:lpstr>
      <vt:lpstr>'POULES (WINNAARS)'!Uruguay_Against</vt:lpstr>
      <vt:lpstr>Uruguay_Against</vt:lpstr>
      <vt:lpstr>'POULE (DAMES)'!Uruguay_Played</vt:lpstr>
      <vt:lpstr>'POULES (I+J)'!Uruguay_Played</vt:lpstr>
      <vt:lpstr>'POULES (RECREANTEN)'!Uruguay_Played</vt:lpstr>
      <vt:lpstr>'POULES (WINNAARS)'!Uruguay_Played</vt:lpstr>
      <vt:lpstr>Uruguay_Played</vt:lpstr>
      <vt:lpstr>'POULE (DAMES)'!USA_Against</vt:lpstr>
      <vt:lpstr>'POULES (I+J)'!USA_Against</vt:lpstr>
      <vt:lpstr>'POULES (RECREANTEN)'!USA_Against</vt:lpstr>
      <vt:lpstr>'POULES (WINNAARS)'!USA_Against</vt:lpstr>
      <vt:lpstr>USA_Against</vt:lpstr>
      <vt:lpstr>'POULE (DAMES)'!USA_Played</vt:lpstr>
      <vt:lpstr>'POULES (I+J)'!USA_Played</vt:lpstr>
      <vt:lpstr>'POULES (RECREANTEN)'!USA_Played</vt:lpstr>
      <vt:lpstr>'POULES (WINNAARS)'!USA_Played</vt:lpstr>
      <vt:lpstr>USA_Played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Dennis Kanbier</dc:creator>
  <cp:keywords/>
  <dc:description/>
  <cp:lastModifiedBy>Ron Kanbier</cp:lastModifiedBy>
  <cp:revision/>
  <cp:lastPrinted>2016-05-28T14:56:41Z</cp:lastPrinted>
  <dcterms:created xsi:type="dcterms:W3CDTF">2000-09-23T12:13:31Z</dcterms:created>
  <dcterms:modified xsi:type="dcterms:W3CDTF">2016-06-05T19:20:19Z</dcterms:modified>
</cp:coreProperties>
</file>